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Sellest_töövihikust" defaultThemeVersion="124226"/>
  <mc:AlternateContent xmlns:mc="http://schemas.openxmlformats.org/markup-compatibility/2006">
    <mc:Choice Requires="x15">
      <x15ac:absPath xmlns:x15ac="http://schemas.microsoft.com/office/spreadsheetml/2010/11/ac" url="C:\Users\Marika\OneDrive\Eriolukorra kaugtöö\AVALIK - Statistika ja tulumaks\"/>
    </mc:Choice>
  </mc:AlternateContent>
  <bookViews>
    <workbookView xWindow="480" yWindow="105" windowWidth="9465" windowHeight="5265"/>
  </bookViews>
  <sheets>
    <sheet name="Tulumaks 2012-2022" sheetId="13" r:id="rId1"/>
    <sheet name="Graafik 2008-2022" sheetId="14" r:id="rId2"/>
    <sheet name="Tulumaksu prognoos" sheetId="15" r:id="rId3"/>
    <sheet name="Lisaeelarve arvutused" sheetId="16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Alpha">#REF!</definedName>
    <definedName name="b" localSheetId="3">[1]Tiitelleht!#REF!</definedName>
    <definedName name="b">[1]Tiitelleht!#REF!</definedName>
    <definedName name="beeta">#REF!</definedName>
    <definedName name="cofog" localSheetId="3">[1]Tiitelleht!#REF!</definedName>
    <definedName name="cofog">[1]Tiitelleht!#REF!</definedName>
    <definedName name="gamma">#REF!</definedName>
    <definedName name="h" localSheetId="3">'[2]Allasutuste tulud arvele võetud'!#REF!</definedName>
    <definedName name="h">'[2]Allasutuste tulud arvele võetud'!#REF!</definedName>
    <definedName name="haridteenused" localSheetId="3">'[3]Allasutuste tulud arvele võetud'!#REF!</definedName>
    <definedName name="haridteenused">'[3]Allasutuste tulud arvele võetud'!#REF!</definedName>
    <definedName name="Hariduse_teenused" localSheetId="3">'[3]Allasutuste tulud arvele võetud'!#REF!</definedName>
    <definedName name="Hariduse_teenused" localSheetId="0">'[4]Allasutuste tulud arvele võetud'!#REF!</definedName>
    <definedName name="Hariduse_teenused" localSheetId="2">'[3]Allasutuste tulud arvele võetud'!#REF!</definedName>
    <definedName name="Hariduse_teenused">'[4]Allasutuste tulud arvele võetud'!#REF!</definedName>
    <definedName name="haridusteenused" localSheetId="3">'[3]Allasutuste tulud arvele võetud'!#REF!</definedName>
    <definedName name="haridusteenused">'[3]Allasutuste tulud arvele võetud'!#REF!</definedName>
    <definedName name="Haridusteenused2" localSheetId="3">'[3]Allasutuste tulud arvele võetud'!#REF!</definedName>
    <definedName name="Haridusteenused2">'[3]Allasutuste tulud arvele võetud'!#REF!</definedName>
    <definedName name="Haridusteenused3" localSheetId="3">'[5]Allasutuste tulud arvele võetud'!#REF!</definedName>
    <definedName name="Haridusteenused3">'[5]Allasutuste tulud arvele võetud'!#REF!</definedName>
    <definedName name="harteen" localSheetId="3">'[3]Allasutuste tulud arvele võetud'!#REF!</definedName>
    <definedName name="harteen">'[3]Allasutuste tulud arvele võetud'!#REF!</definedName>
    <definedName name="harteenused" localSheetId="3">'[3]Allasutuste tulud arvele võetud'!#REF!</definedName>
    <definedName name="harteenused">'[3]Allasutuste tulud arvele võetud'!#REF!</definedName>
    <definedName name="hh" localSheetId="3">'[2]Allasutuste tulud arvele võetud'!#REF!</definedName>
    <definedName name="hh">'[2]Allasutuste tulud arvele võetud'!#REF!</definedName>
    <definedName name="hhhhhhhhh" localSheetId="3">'[2]Allasutuste tulud arvele võetud'!#REF!</definedName>
    <definedName name="hhhhhhhhh">'[2]Allasutuste tulud arvele võetud'!#REF!</definedName>
    <definedName name="hhhhhhhhhh" localSheetId="3">'[3]Allasutuste tulud arvele võetud'!#REF!</definedName>
    <definedName name="hhhhhhhhhh">'[3]Allasutuste tulud arvele võetud'!#REF!</definedName>
    <definedName name="hhhhhhhhhhh" localSheetId="3">'[3]Allasutuste tulud arvele võetud'!#REF!</definedName>
    <definedName name="hhhhhhhhhhh">'[3]Allasutuste tulud arvele võetud'!#REF!</definedName>
    <definedName name="hhhhhhhhhhhh" localSheetId="3">'[3]Allasutuste tulud arvele võetud'!#REF!</definedName>
    <definedName name="hhhhhhhhhhhh">'[3]Allasutuste tulud arvele võetud'!#REF!</definedName>
    <definedName name="hhhhhhhhhhhhhhhh" localSheetId="3">'[2]Allasutuste tulud arvele võetud'!#REF!</definedName>
    <definedName name="hhhhhhhhhhhhhhhh">'[2]Allasutuste tulud arvele võetud'!#REF!</definedName>
    <definedName name="hhhhhhhhhhhhhhhhhh" localSheetId="3">'[5]Allasutuste tulud arvele võetud'!#REF!</definedName>
    <definedName name="hhhhhhhhhhhhhhhhhh">'[5]Allasutuste tulud arvele võetud'!#REF!</definedName>
    <definedName name="hteenused" localSheetId="3">'[2]Allasutuste tulud arvele võetud'!#REF!</definedName>
    <definedName name="hteenused">'[2]Allasutuste tulud arvele võetud'!#REF!</definedName>
    <definedName name="_xlnm.Print_Area" localSheetId="0">'Tulumaks 2012-2022'!$A$1:$AU$56</definedName>
    <definedName name="Slicer_Tunnus">#N/A</definedName>
    <definedName name="Slicer_Tunnus1">#N/A</definedName>
  </definedNames>
  <calcPr calcId="162913"/>
</workbook>
</file>

<file path=xl/calcChain.xml><?xml version="1.0" encoding="utf-8"?>
<calcChain xmlns="http://schemas.openxmlformats.org/spreadsheetml/2006/main">
  <c r="AG26" i="13" l="1"/>
  <c r="AG25" i="13"/>
  <c r="AG27" i="13"/>
  <c r="AG15" i="13"/>
  <c r="Y15" i="13"/>
  <c r="X25" i="13"/>
  <c r="W15" i="13"/>
  <c r="AG8" i="13"/>
  <c r="Z8" i="13"/>
  <c r="Y8" i="13"/>
  <c r="X8" i="13"/>
  <c r="X15" i="13"/>
  <c r="AM56" i="15" l="1"/>
  <c r="AM61" i="15" s="1"/>
  <c r="AQ56" i="16"/>
  <c r="AM60" i="15"/>
  <c r="AM58" i="15"/>
  <c r="AM55" i="15"/>
  <c r="AM51" i="15"/>
  <c r="AL47" i="15"/>
  <c r="AM48" i="15"/>
  <c r="AM47" i="15"/>
  <c r="AH88" i="16"/>
  <c r="AG88" i="16"/>
  <c r="AF88" i="16"/>
  <c r="AE88" i="16"/>
  <c r="AD88" i="16"/>
  <c r="AC88" i="16"/>
  <c r="AO58" i="16"/>
  <c r="AD57" i="16"/>
  <c r="AE57" i="16" s="1"/>
  <c r="AF57" i="16" s="1"/>
  <c r="AG57" i="16" s="1"/>
  <c r="AH57" i="16" s="1"/>
  <c r="J57" i="16"/>
  <c r="I57" i="16"/>
  <c r="H57" i="16"/>
  <c r="G57" i="16"/>
  <c r="F57" i="16"/>
  <c r="E57" i="16"/>
  <c r="D57" i="16"/>
  <c r="C57" i="16"/>
  <c r="B57" i="16"/>
  <c r="V56" i="16"/>
  <c r="N56" i="16"/>
  <c r="J56" i="16"/>
  <c r="I56" i="16"/>
  <c r="H56" i="16"/>
  <c r="G56" i="16"/>
  <c r="F56" i="16"/>
  <c r="E56" i="16"/>
  <c r="D56" i="16"/>
  <c r="C56" i="16"/>
  <c r="AW55" i="16"/>
  <c r="AO55" i="16"/>
  <c r="AM55" i="16"/>
  <c r="AK55" i="16"/>
  <c r="T55" i="16"/>
  <c r="U58" i="16" s="1"/>
  <c r="R55" i="16"/>
  <c r="Q55" i="16"/>
  <c r="AO51" i="16"/>
  <c r="AM51" i="16"/>
  <c r="AK51" i="16"/>
  <c r="AJ51" i="16"/>
  <c r="AE51" i="16"/>
  <c r="AD51" i="16"/>
  <c r="W51" i="16"/>
  <c r="V51" i="16"/>
  <c r="S51" i="16"/>
  <c r="R51" i="16"/>
  <c r="Q51" i="16"/>
  <c r="P51" i="16"/>
  <c r="O51" i="16"/>
  <c r="N51" i="16"/>
  <c r="M51" i="16"/>
  <c r="L51" i="16"/>
  <c r="K51" i="16"/>
  <c r="J51" i="16"/>
  <c r="I51" i="16"/>
  <c r="C51" i="16"/>
  <c r="AX50" i="16"/>
  <c r="AX51" i="16" s="1"/>
  <c r="AL50" i="16"/>
  <c r="AL51" i="16" s="1"/>
  <c r="AF50" i="16"/>
  <c r="AF48" i="16" s="1"/>
  <c r="AD50" i="16"/>
  <c r="AE50" i="16" s="1"/>
  <c r="AE48" i="16" s="1"/>
  <c r="AE55" i="16" s="1"/>
  <c r="AE58" i="16" s="1"/>
  <c r="X50" i="16"/>
  <c r="X51" i="16" s="1"/>
  <c r="T50" i="16"/>
  <c r="Q50" i="16"/>
  <c r="J50" i="16"/>
  <c r="I50" i="16"/>
  <c r="H50" i="16"/>
  <c r="G50" i="16"/>
  <c r="H51" i="16" s="1"/>
  <c r="F50" i="16"/>
  <c r="F51" i="16" s="1"/>
  <c r="E50" i="16"/>
  <c r="E51" i="16" s="1"/>
  <c r="D50" i="16"/>
  <c r="D51" i="16" s="1"/>
  <c r="C50" i="16"/>
  <c r="B50" i="16"/>
  <c r="AX48" i="16"/>
  <c r="AX55" i="16" s="1"/>
  <c r="AW48" i="16"/>
  <c r="AO48" i="16"/>
  <c r="AK48" i="16"/>
  <c r="AJ48" i="16"/>
  <c r="AI48" i="16"/>
  <c r="AD48" i="16"/>
  <c r="AD55" i="16" s="1"/>
  <c r="AD56" i="16" s="1"/>
  <c r="AC48" i="16"/>
  <c r="W48" i="16"/>
  <c r="W55" i="16" s="1"/>
  <c r="W56" i="16" s="1"/>
  <c r="V48" i="16"/>
  <c r="V55" i="16" s="1"/>
  <c r="U48" i="16"/>
  <c r="U55" i="16" s="1"/>
  <c r="T48" i="16"/>
  <c r="S48" i="16"/>
  <c r="S55" i="16" s="1"/>
  <c r="R48" i="16"/>
  <c r="Q48" i="16"/>
  <c r="P48" i="16"/>
  <c r="P55" i="16" s="1"/>
  <c r="O48" i="16"/>
  <c r="O55" i="16" s="1"/>
  <c r="O56" i="16" s="1"/>
  <c r="N48" i="16"/>
  <c r="N55" i="16" s="1"/>
  <c r="M48" i="16"/>
  <c r="M55" i="16" s="1"/>
  <c r="L48" i="16"/>
  <c r="L55" i="16" s="1"/>
  <c r="K48" i="16"/>
  <c r="K55" i="16" s="1"/>
  <c r="K56" i="16" s="1"/>
  <c r="BB47" i="16"/>
  <c r="BA47" i="16"/>
  <c r="AZ47" i="16"/>
  <c r="AY47" i="16"/>
  <c r="AX47" i="16"/>
  <c r="AW47" i="16"/>
  <c r="AQ47" i="16"/>
  <c r="AO47" i="16"/>
  <c r="AL47" i="16"/>
  <c r="AK47" i="16"/>
  <c r="AJ47" i="16"/>
  <c r="AI47" i="16"/>
  <c r="AH47" i="16"/>
  <c r="AG47" i="16"/>
  <c r="AF47" i="16"/>
  <c r="AE47" i="16"/>
  <c r="AD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AR46" i="16"/>
  <c r="AP46" i="16"/>
  <c r="AM46" i="16"/>
  <c r="AM48" i="16" s="1"/>
  <c r="X46" i="16"/>
  <c r="Y46" i="16" s="1"/>
  <c r="Z46" i="16" s="1"/>
  <c r="AA46" i="16" s="1"/>
  <c r="H44" i="16"/>
  <c r="G44" i="16" s="1"/>
  <c r="F44" i="16" s="1"/>
  <c r="E44" i="16" s="1"/>
  <c r="D44" i="16" s="1"/>
  <c r="C44" i="16" s="1"/>
  <c r="B44" i="16" s="1"/>
  <c r="E17" i="16"/>
  <c r="V16" i="16"/>
  <c r="W16" i="16" s="1"/>
  <c r="X16" i="16" s="1"/>
  <c r="Y16" i="16" s="1"/>
  <c r="Z16" i="16" s="1"/>
  <c r="J16" i="16"/>
  <c r="I16" i="16"/>
  <c r="H16" i="16"/>
  <c r="G16" i="16"/>
  <c r="F16" i="16"/>
  <c r="E16" i="16"/>
  <c r="D16" i="16"/>
  <c r="C16" i="16"/>
  <c r="B16" i="16"/>
  <c r="K15" i="16"/>
  <c r="J15" i="16"/>
  <c r="I15" i="16"/>
  <c r="H15" i="16"/>
  <c r="G15" i="16"/>
  <c r="F15" i="16"/>
  <c r="E15" i="16"/>
  <c r="D15" i="16"/>
  <c r="C15" i="16"/>
  <c r="Q14" i="16"/>
  <c r="Q37" i="16" s="1"/>
  <c r="Q36" i="16" s="1"/>
  <c r="K14" i="16"/>
  <c r="AL13" i="16"/>
  <c r="AJ13" i="16"/>
  <c r="AI13" i="16"/>
  <c r="AH13" i="16"/>
  <c r="AG13" i="16"/>
  <c r="Q10" i="16"/>
  <c r="P10" i="16"/>
  <c r="O10" i="16"/>
  <c r="N10" i="16"/>
  <c r="M10" i="16"/>
  <c r="L10" i="16"/>
  <c r="G10" i="16"/>
  <c r="F10" i="16"/>
  <c r="R9" i="16"/>
  <c r="U9" i="16" s="1"/>
  <c r="Q9" i="16"/>
  <c r="J9" i="16"/>
  <c r="K10" i="16" s="1"/>
  <c r="I9" i="16"/>
  <c r="I10" i="16" s="1"/>
  <c r="H9" i="16"/>
  <c r="G9" i="16"/>
  <c r="F9" i="16"/>
  <c r="E9" i="16"/>
  <c r="E10" i="16" s="1"/>
  <c r="D9" i="16"/>
  <c r="D10" i="16" s="1"/>
  <c r="C9" i="16"/>
  <c r="C10" i="16" s="1"/>
  <c r="B9" i="16"/>
  <c r="Q7" i="16"/>
  <c r="P7" i="16"/>
  <c r="P14" i="16" s="1"/>
  <c r="P37" i="16" s="1"/>
  <c r="P36" i="16" s="1"/>
  <c r="O7" i="16"/>
  <c r="O14" i="16" s="1"/>
  <c r="O15" i="16" s="1"/>
  <c r="N7" i="16"/>
  <c r="N14" i="16" s="1"/>
  <c r="M7" i="16"/>
  <c r="M14" i="16" s="1"/>
  <c r="L7" i="16"/>
  <c r="L14" i="16" s="1"/>
  <c r="K7" i="16"/>
  <c r="Z6" i="16"/>
  <c r="Y6" i="16"/>
  <c r="X6" i="16"/>
  <c r="W6" i="16"/>
  <c r="V6" i="16"/>
  <c r="U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H3" i="16"/>
  <c r="G3" i="16" s="1"/>
  <c r="F3" i="16" s="1"/>
  <c r="E3" i="16" s="1"/>
  <c r="D3" i="16" s="1"/>
  <c r="C3" i="16" s="1"/>
  <c r="B3" i="16" s="1"/>
  <c r="S58" i="16" l="1"/>
  <c r="S56" i="16"/>
  <c r="L17" i="16"/>
  <c r="L19" i="16" s="1"/>
  <c r="E19" i="16"/>
  <c r="E18" i="16"/>
  <c r="L15" i="16"/>
  <c r="L56" i="16"/>
  <c r="M15" i="16"/>
  <c r="M56" i="16"/>
  <c r="N15" i="16"/>
  <c r="U10" i="16"/>
  <c r="V9" i="16"/>
  <c r="U7" i="16"/>
  <c r="AX61" i="16"/>
  <c r="AX63" i="16" s="1"/>
  <c r="AX58" i="16"/>
  <c r="AX56" i="16"/>
  <c r="Q22" i="16"/>
  <c r="AM47" i="16"/>
  <c r="Y50" i="16"/>
  <c r="AY50" i="16"/>
  <c r="AF51" i="16"/>
  <c r="AW61" i="16"/>
  <c r="AW63" i="16" s="1"/>
  <c r="U56" i="16"/>
  <c r="AF55" i="16"/>
  <c r="AB46" i="16"/>
  <c r="AA47" i="16"/>
  <c r="AN46" i="16"/>
  <c r="X47" i="16"/>
  <c r="V58" i="16"/>
  <c r="AG50" i="16"/>
  <c r="Q58" i="16"/>
  <c r="AE56" i="16"/>
  <c r="P15" i="16"/>
  <c r="Y47" i="16"/>
  <c r="W58" i="16"/>
  <c r="W92" i="16"/>
  <c r="G51" i="16"/>
  <c r="R58" i="16"/>
  <c r="R56" i="16"/>
  <c r="AK58" i="16"/>
  <c r="AO56" i="16"/>
  <c r="AK56" i="16"/>
  <c r="H10" i="16"/>
  <c r="Z47" i="16"/>
  <c r="P56" i="16"/>
  <c r="P58" i="16"/>
  <c r="U51" i="16"/>
  <c r="T51" i="16"/>
  <c r="AP50" i="16"/>
  <c r="AN50" i="16"/>
  <c r="AQ50" i="16"/>
  <c r="AL48" i="16"/>
  <c r="AL55" i="16" s="1"/>
  <c r="AN55" i="16" s="1"/>
  <c r="AD58" i="16"/>
  <c r="R7" i="16"/>
  <c r="R10" i="16"/>
  <c r="P22" i="16"/>
  <c r="X48" i="16"/>
  <c r="X55" i="16" s="1"/>
  <c r="T58" i="16"/>
  <c r="T56" i="16"/>
  <c r="AM58" i="16"/>
  <c r="AM56" i="16"/>
  <c r="J10" i="16"/>
  <c r="R30" i="16" l="1"/>
  <c r="R14" i="16"/>
  <c r="AG48" i="16"/>
  <c r="AG55" i="16" s="1"/>
  <c r="AH50" i="16"/>
  <c r="AG51" i="16"/>
  <c r="AL58" i="16"/>
  <c r="AL56" i="16"/>
  <c r="AR50" i="16"/>
  <c r="AQ48" i="16"/>
  <c r="AQ55" i="16" s="1"/>
  <c r="AW51" i="16"/>
  <c r="AQ51" i="16"/>
  <c r="U34" i="16"/>
  <c r="U14" i="16"/>
  <c r="U30" i="16"/>
  <c r="X92" i="16"/>
  <c r="X58" i="16"/>
  <c r="X56" i="16"/>
  <c r="AB47" i="16"/>
  <c r="AC47" i="16"/>
  <c r="Y48" i="16"/>
  <c r="Y55" i="16" s="1"/>
  <c r="Z50" i="16"/>
  <c r="Y51" i="16"/>
  <c r="V10" i="16"/>
  <c r="W9" i="16"/>
  <c r="V7" i="16"/>
  <c r="V14" i="16" s="1"/>
  <c r="AP55" i="16"/>
  <c r="AY51" i="16"/>
  <c r="AZ50" i="16"/>
  <c r="AY48" i="16"/>
  <c r="AY55" i="16" s="1"/>
  <c r="AF58" i="16"/>
  <c r="AF56" i="16"/>
  <c r="V22" i="16" l="1"/>
  <c r="V25" i="16"/>
  <c r="V15" i="16"/>
  <c r="AQ58" i="16"/>
  <c r="AR55" i="16"/>
  <c r="AR61" i="16" s="1"/>
  <c r="AW56" i="16"/>
  <c r="AW58" i="16"/>
  <c r="X9" i="16"/>
  <c r="W7" i="16"/>
  <c r="W14" i="16" s="1"/>
  <c r="W10" i="16"/>
  <c r="Z51" i="16"/>
  <c r="AA50" i="16"/>
  <c r="Z48" i="16"/>
  <c r="Z55" i="16" s="1"/>
  <c r="AZ51" i="16"/>
  <c r="AZ48" i="16"/>
  <c r="AZ55" i="16" s="1"/>
  <c r="BA50" i="16"/>
  <c r="Y92" i="16"/>
  <c r="Y58" i="16"/>
  <c r="Y56" i="16"/>
  <c r="U36" i="16"/>
  <c r="AI51" i="16"/>
  <c r="AH51" i="16"/>
  <c r="AH48" i="16"/>
  <c r="AH55" i="16" s="1"/>
  <c r="R35" i="16"/>
  <c r="R15" i="16"/>
  <c r="R31" i="16"/>
  <c r="R40" i="16"/>
  <c r="R22" i="16"/>
  <c r="R25" i="16"/>
  <c r="AY58" i="16"/>
  <c r="AY61" i="16"/>
  <c r="AY63" i="16" s="1"/>
  <c r="AY56" i="16"/>
  <c r="U15" i="16"/>
  <c r="U25" i="16"/>
  <c r="U31" i="16"/>
  <c r="U22" i="16"/>
  <c r="AG58" i="16"/>
  <c r="AG56" i="16"/>
  <c r="W22" i="16" l="1"/>
  <c r="W25" i="16"/>
  <c r="W15" i="16"/>
  <c r="BB50" i="16"/>
  <c r="BA48" i="16"/>
  <c r="BA55" i="16" s="1"/>
  <c r="BA51" i="16"/>
  <c r="Y9" i="16"/>
  <c r="X7" i="16"/>
  <c r="X14" i="16" s="1"/>
  <c r="X10" i="16"/>
  <c r="AH58" i="16"/>
  <c r="AH56" i="16"/>
  <c r="AZ58" i="16"/>
  <c r="AZ61" i="16"/>
  <c r="AZ63" i="16" s="1"/>
  <c r="AZ56" i="16"/>
  <c r="Z92" i="16"/>
  <c r="Z58" i="16"/>
  <c r="Z56" i="16"/>
  <c r="AA51" i="16"/>
  <c r="AB50" i="16"/>
  <c r="AA48" i="16"/>
  <c r="AA55" i="16" s="1"/>
  <c r="X25" i="16" l="1"/>
  <c r="X22" i="16"/>
  <c r="X15" i="16"/>
  <c r="AA92" i="16"/>
  <c r="AA58" i="16"/>
  <c r="AA56" i="16"/>
  <c r="BB48" i="16"/>
  <c r="BB55" i="16" s="1"/>
  <c r="BB51" i="16"/>
  <c r="Z9" i="16"/>
  <c r="Y7" i="16"/>
  <c r="Y14" i="16" s="1"/>
  <c r="Y10" i="16"/>
  <c r="BA58" i="16"/>
  <c r="BA61" i="16"/>
  <c r="BA63" i="16" s="1"/>
  <c r="BA56" i="16"/>
  <c r="AC51" i="16"/>
  <c r="AB51" i="16"/>
  <c r="AB48" i="16"/>
  <c r="AB55" i="16" s="1"/>
  <c r="AB92" i="16" l="1"/>
  <c r="AB58" i="16"/>
  <c r="AB56" i="16"/>
  <c r="Z10" i="16"/>
  <c r="Z7" i="16"/>
  <c r="Z14" i="16" s="1"/>
  <c r="BB58" i="16"/>
  <c r="BB61" i="16"/>
  <c r="BB63" i="16" s="1"/>
  <c r="BB56" i="16"/>
  <c r="Y22" i="16"/>
  <c r="Y25" i="16"/>
  <c r="Y15" i="16"/>
  <c r="Z25" i="16" l="1"/>
  <c r="Z15" i="16"/>
  <c r="Z22" i="16"/>
  <c r="AY29" i="13" l="1"/>
  <c r="V26" i="13" l="1"/>
  <c r="V9" i="13"/>
  <c r="V10" i="13"/>
  <c r="V11" i="13"/>
  <c r="V12" i="13"/>
  <c r="V13" i="13"/>
  <c r="V14" i="13"/>
  <c r="V8" i="13"/>
  <c r="U15" i="13"/>
  <c r="T15" i="13"/>
  <c r="X7" i="13" l="1"/>
  <c r="Y7" i="13"/>
  <c r="Z7" i="13"/>
  <c r="AG7" i="13"/>
  <c r="X6" i="13" l="1"/>
  <c r="Y6" i="13"/>
  <c r="Z6" i="13"/>
  <c r="AG6" i="13"/>
  <c r="Z5" i="13" l="1"/>
  <c r="AG5" i="13"/>
  <c r="X5" i="13"/>
  <c r="Y5" i="13"/>
  <c r="Z4" i="13" l="1"/>
  <c r="X4" i="13"/>
  <c r="Y4" i="13"/>
  <c r="AG4" i="13"/>
  <c r="AL56" i="15" l="1"/>
  <c r="AH68" i="15" l="1"/>
  <c r="AG68" i="15"/>
  <c r="AF68" i="15"/>
  <c r="AE68" i="15"/>
  <c r="AD68" i="15"/>
  <c r="AC68" i="15"/>
  <c r="AD57" i="15"/>
  <c r="AE57" i="15" s="1"/>
  <c r="AF57" i="15" s="1"/>
  <c r="AG57" i="15" s="1"/>
  <c r="AH57" i="15" s="1"/>
  <c r="J57" i="15"/>
  <c r="I57" i="15"/>
  <c r="H57" i="15"/>
  <c r="G57" i="15"/>
  <c r="F57" i="15"/>
  <c r="E57" i="15"/>
  <c r="D57" i="15"/>
  <c r="C57" i="15"/>
  <c r="B57" i="15"/>
  <c r="J56" i="15"/>
  <c r="I56" i="15"/>
  <c r="H56" i="15"/>
  <c r="G56" i="15"/>
  <c r="F56" i="15"/>
  <c r="E56" i="15"/>
  <c r="D56" i="15"/>
  <c r="C56" i="15"/>
  <c r="W55" i="15"/>
  <c r="S55" i="15"/>
  <c r="O55" i="15"/>
  <c r="O56" i="15" s="1"/>
  <c r="K55" i="15"/>
  <c r="K56" i="15" s="1"/>
  <c r="W51" i="15"/>
  <c r="V51" i="15"/>
  <c r="S51" i="15"/>
  <c r="R51" i="15"/>
  <c r="P51" i="15"/>
  <c r="O51" i="15"/>
  <c r="N51" i="15"/>
  <c r="M51" i="15"/>
  <c r="L51" i="15"/>
  <c r="J51" i="15"/>
  <c r="F51" i="15"/>
  <c r="AL50" i="15"/>
  <c r="AD50" i="15"/>
  <c r="AD51" i="15" s="1"/>
  <c r="X50" i="15"/>
  <c r="X51" i="15" s="1"/>
  <c r="U51" i="15"/>
  <c r="Q50" i="15"/>
  <c r="Q51" i="15" s="1"/>
  <c r="J50" i="15"/>
  <c r="K51" i="15" s="1"/>
  <c r="I50" i="15"/>
  <c r="I51" i="15" s="1"/>
  <c r="H50" i="15"/>
  <c r="H51" i="15" s="1"/>
  <c r="G50" i="15"/>
  <c r="G51" i="15" s="1"/>
  <c r="F50" i="15"/>
  <c r="E50" i="15"/>
  <c r="E51" i="15" s="1"/>
  <c r="D50" i="15"/>
  <c r="D51" i="15" s="1"/>
  <c r="C50" i="15"/>
  <c r="C51" i="15" s="1"/>
  <c r="B50" i="15"/>
  <c r="AL48" i="15"/>
  <c r="AL55" i="15" s="1"/>
  <c r="AD48" i="15"/>
  <c r="AD55" i="15" s="1"/>
  <c r="W48" i="15"/>
  <c r="V48" i="15"/>
  <c r="V55" i="15" s="1"/>
  <c r="U48" i="15"/>
  <c r="U55" i="15" s="1"/>
  <c r="S48" i="15"/>
  <c r="R48" i="15"/>
  <c r="R55" i="15" s="1"/>
  <c r="Q48" i="15"/>
  <c r="Q55" i="15" s="1"/>
  <c r="P48" i="15"/>
  <c r="P55" i="15" s="1"/>
  <c r="O48" i="15"/>
  <c r="N48" i="15"/>
  <c r="N55" i="15" s="1"/>
  <c r="M48" i="15"/>
  <c r="M55" i="15" s="1"/>
  <c r="L48" i="15"/>
  <c r="L55" i="15" s="1"/>
  <c r="L56" i="15" s="1"/>
  <c r="K48" i="15"/>
  <c r="AH47" i="15"/>
  <c r="AG47" i="15"/>
  <c r="AF47" i="15"/>
  <c r="AE47" i="15"/>
  <c r="AD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X46" i="15"/>
  <c r="X48" i="15" s="1"/>
  <c r="X55" i="15" s="1"/>
  <c r="H44" i="15"/>
  <c r="G44" i="15" s="1"/>
  <c r="F44" i="15" s="1"/>
  <c r="E44" i="15" s="1"/>
  <c r="D44" i="15" s="1"/>
  <c r="C44" i="15" s="1"/>
  <c r="B44" i="15" s="1"/>
  <c r="E17" i="15"/>
  <c r="W16" i="15"/>
  <c r="X16" i="15" s="1"/>
  <c r="Y16" i="15" s="1"/>
  <c r="Z16" i="15" s="1"/>
  <c r="V16" i="15"/>
  <c r="J16" i="15"/>
  <c r="I16" i="15"/>
  <c r="H16" i="15"/>
  <c r="G16" i="15"/>
  <c r="F16" i="15"/>
  <c r="E16" i="15"/>
  <c r="D16" i="15"/>
  <c r="C16" i="15"/>
  <c r="B16" i="15"/>
  <c r="J15" i="15"/>
  <c r="I15" i="15"/>
  <c r="H15" i="15"/>
  <c r="G15" i="15"/>
  <c r="F15" i="15"/>
  <c r="E15" i="15"/>
  <c r="D15" i="15"/>
  <c r="C15" i="15"/>
  <c r="P14" i="15"/>
  <c r="P37" i="15" s="1"/>
  <c r="P36" i="15" s="1"/>
  <c r="L14" i="15"/>
  <c r="E19" i="15" s="1"/>
  <c r="AL13" i="15"/>
  <c r="AK13" i="15"/>
  <c r="AJ13" i="15"/>
  <c r="AI13" i="15"/>
  <c r="AH13" i="15"/>
  <c r="AG13" i="15"/>
  <c r="P10" i="15"/>
  <c r="O10" i="15"/>
  <c r="N10" i="15"/>
  <c r="M10" i="15"/>
  <c r="L10" i="15"/>
  <c r="R9" i="15"/>
  <c r="R7" i="15" s="1"/>
  <c r="Q9" i="15"/>
  <c r="Q10" i="15" s="1"/>
  <c r="J9" i="15"/>
  <c r="K10" i="15" s="1"/>
  <c r="I9" i="15"/>
  <c r="I10" i="15" s="1"/>
  <c r="H9" i="15"/>
  <c r="H10" i="15" s="1"/>
  <c r="G9" i="15"/>
  <c r="G10" i="15" s="1"/>
  <c r="F9" i="15"/>
  <c r="F10" i="15" s="1"/>
  <c r="E9" i="15"/>
  <c r="E10" i="15" s="1"/>
  <c r="D9" i="15"/>
  <c r="D10" i="15" s="1"/>
  <c r="C9" i="15"/>
  <c r="C10" i="15" s="1"/>
  <c r="B9" i="15"/>
  <c r="Q7" i="15"/>
  <c r="Q14" i="15" s="1"/>
  <c r="P7" i="15"/>
  <c r="O7" i="15"/>
  <c r="O14" i="15" s="1"/>
  <c r="O15" i="15" s="1"/>
  <c r="N7" i="15"/>
  <c r="N14" i="15" s="1"/>
  <c r="M7" i="15"/>
  <c r="M14" i="15" s="1"/>
  <c r="M15" i="15" s="1"/>
  <c r="L7" i="15"/>
  <c r="K7" i="15"/>
  <c r="K14" i="15" s="1"/>
  <c r="K15" i="15" s="1"/>
  <c r="Z6" i="15"/>
  <c r="Y6" i="15"/>
  <c r="X6" i="15"/>
  <c r="W6" i="15"/>
  <c r="V6" i="15"/>
  <c r="U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H3" i="15"/>
  <c r="G3" i="15"/>
  <c r="F3" i="15" s="1"/>
  <c r="E3" i="15" s="1"/>
  <c r="D3" i="15" s="1"/>
  <c r="C3" i="15" s="1"/>
  <c r="B3" i="15" s="1"/>
  <c r="AD58" i="15" l="1"/>
  <c r="AD56" i="15"/>
  <c r="Q37" i="15"/>
  <c r="Q36" i="15" s="1"/>
  <c r="Q22" i="15"/>
  <c r="P58" i="15"/>
  <c r="P56" i="15"/>
  <c r="AL60" i="15"/>
  <c r="N15" i="15"/>
  <c r="M56" i="15"/>
  <c r="Q58" i="15"/>
  <c r="V58" i="15"/>
  <c r="V56" i="15"/>
  <c r="S56" i="15"/>
  <c r="R14" i="15"/>
  <c r="R30" i="15"/>
  <c r="X72" i="15"/>
  <c r="X58" i="15"/>
  <c r="X56" i="15"/>
  <c r="N56" i="15"/>
  <c r="R58" i="15"/>
  <c r="R56" i="15"/>
  <c r="W56" i="15"/>
  <c r="S58" i="15"/>
  <c r="W58" i="15"/>
  <c r="W60" i="15"/>
  <c r="U9" i="15"/>
  <c r="L17" i="15"/>
  <c r="L19" i="15" s="1"/>
  <c r="P22" i="15"/>
  <c r="Y46" i="15"/>
  <c r="AL51" i="15"/>
  <c r="J10" i="15"/>
  <c r="R10" i="15"/>
  <c r="L15" i="15"/>
  <c r="P15" i="15"/>
  <c r="E18" i="15"/>
  <c r="Y50" i="15"/>
  <c r="T51" i="15"/>
  <c r="W72" i="15"/>
  <c r="X47" i="15"/>
  <c r="T48" i="15"/>
  <c r="T55" i="15" s="1"/>
  <c r="AE50" i="15"/>
  <c r="T58" i="15" l="1"/>
  <c r="T56" i="15"/>
  <c r="U56" i="15"/>
  <c r="U58" i="15"/>
  <c r="U10" i="15"/>
  <c r="V9" i="15"/>
  <c r="U7" i="15"/>
  <c r="R31" i="15"/>
  <c r="R22" i="15"/>
  <c r="R15" i="15"/>
  <c r="R35" i="15"/>
  <c r="R25" i="15"/>
  <c r="R40" i="15"/>
  <c r="Y51" i="15"/>
  <c r="Z50" i="15"/>
  <c r="Y48" i="15"/>
  <c r="Y55" i="15" s="1"/>
  <c r="AE51" i="15"/>
  <c r="AF50" i="15"/>
  <c r="AE48" i="15"/>
  <c r="AE55" i="15" s="1"/>
  <c r="Y47" i="15"/>
  <c r="Z46" i="15"/>
  <c r="AL58" i="15"/>
  <c r="AA46" i="15" l="1"/>
  <c r="Z47" i="15"/>
  <c r="AL61" i="15"/>
  <c r="W9" i="15"/>
  <c r="V10" i="15"/>
  <c r="V7" i="15"/>
  <c r="V14" i="15" s="1"/>
  <c r="AE58" i="15"/>
  <c r="AE56" i="15"/>
  <c r="AA50" i="15"/>
  <c r="Z51" i="15"/>
  <c r="Z52" i="15" s="1"/>
  <c r="Z48" i="15"/>
  <c r="Z55" i="15" s="1"/>
  <c r="AF48" i="15"/>
  <c r="AF55" i="15" s="1"/>
  <c r="AF51" i="15"/>
  <c r="AG50" i="15"/>
  <c r="U14" i="15"/>
  <c r="U30" i="15"/>
  <c r="U34" i="15"/>
  <c r="Y58" i="15"/>
  <c r="Y56" i="15"/>
  <c r="Y72" i="15"/>
  <c r="AF56" i="15" l="1"/>
  <c r="AF58" i="15"/>
  <c r="W7" i="15"/>
  <c r="W14" i="15" s="1"/>
  <c r="X9" i="15"/>
  <c r="W10" i="15"/>
  <c r="Z58" i="15"/>
  <c r="Z56" i="15"/>
  <c r="Z72" i="15"/>
  <c r="AG48" i="15"/>
  <c r="AG55" i="15" s="1"/>
  <c r="AG51" i="15"/>
  <c r="AH50" i="15"/>
  <c r="V25" i="15"/>
  <c r="V22" i="15"/>
  <c r="V15" i="15"/>
  <c r="U25" i="15"/>
  <c r="U31" i="15"/>
  <c r="U22" i="15"/>
  <c r="U15" i="15"/>
  <c r="U36" i="15"/>
  <c r="AA48" i="15"/>
  <c r="AA55" i="15" s="1"/>
  <c r="AA51" i="15"/>
  <c r="AA52" i="15" s="1"/>
  <c r="AB50" i="15"/>
  <c r="AA47" i="15"/>
  <c r="AB46" i="15"/>
  <c r="AB47" i="15" s="1"/>
  <c r="X7" i="15" l="1"/>
  <c r="X14" i="15" s="1"/>
  <c r="X10" i="15"/>
  <c r="Y9" i="15"/>
  <c r="AH51" i="15"/>
  <c r="AH48" i="15"/>
  <c r="AH55" i="15" s="1"/>
  <c r="W22" i="15"/>
  <c r="W15" i="15"/>
  <c r="W25" i="15"/>
  <c r="AB48" i="15"/>
  <c r="AB55" i="15" s="1"/>
  <c r="AB51" i="15"/>
  <c r="AB52" i="15" s="1"/>
  <c r="AA56" i="15"/>
  <c r="AA72" i="15"/>
  <c r="AA58" i="15"/>
  <c r="AG58" i="15"/>
  <c r="AG56" i="15"/>
  <c r="Y10" i="15" l="1"/>
  <c r="Z9" i="15"/>
  <c r="Y7" i="15"/>
  <c r="Y14" i="15" s="1"/>
  <c r="AB72" i="15"/>
  <c r="AB58" i="15"/>
  <c r="AB56" i="15"/>
  <c r="AH58" i="15"/>
  <c r="AH56" i="15"/>
  <c r="X22" i="15"/>
  <c r="X15" i="15"/>
  <c r="X25" i="15"/>
  <c r="Y25" i="15" l="1"/>
  <c r="Y22" i="15"/>
  <c r="Y15" i="15"/>
  <c r="Z10" i="15"/>
  <c r="Z7" i="15"/>
  <c r="Z14" i="15" s="1"/>
  <c r="Z25" i="15" l="1"/>
  <c r="Z22" i="15"/>
  <c r="Z15" i="15"/>
  <c r="Z3" i="13" l="1"/>
  <c r="V28" i="13"/>
  <c r="X3" i="13" l="1"/>
  <c r="AG3" i="13"/>
  <c r="S28" i="13"/>
  <c r="S15" i="13"/>
  <c r="AW29" i="13" s="1"/>
  <c r="Y3" i="13" l="1"/>
  <c r="G28" i="13" l="1"/>
  <c r="H28" i="13"/>
  <c r="I28" i="13"/>
  <c r="J28" i="13"/>
  <c r="K28" i="13"/>
  <c r="L28" i="13"/>
  <c r="M28" i="13"/>
  <c r="N28" i="13"/>
  <c r="O28" i="13"/>
  <c r="P28" i="13"/>
  <c r="Q28" i="13"/>
  <c r="R28" i="13"/>
  <c r="F28" i="13"/>
  <c r="C15" i="13"/>
  <c r="D15" i="13"/>
  <c r="E15" i="13"/>
  <c r="F15" i="13"/>
  <c r="G15" i="13"/>
  <c r="H15" i="13"/>
  <c r="H27" i="13" s="1"/>
  <c r="I15" i="13"/>
  <c r="J15" i="13"/>
  <c r="K15" i="13"/>
  <c r="L15" i="13"/>
  <c r="L27" i="13" s="1"/>
  <c r="M15" i="13"/>
  <c r="N15" i="13"/>
  <c r="O15" i="13"/>
  <c r="P15" i="13"/>
  <c r="P27" i="13" s="1"/>
  <c r="Q15" i="13"/>
  <c r="R15" i="13"/>
  <c r="B15" i="13"/>
  <c r="N27" i="13" l="1"/>
  <c r="O27" i="13"/>
  <c r="K27" i="13"/>
  <c r="G27" i="13"/>
  <c r="R27" i="13"/>
  <c r="S26" i="13"/>
  <c r="S27" i="13"/>
  <c r="N26" i="13"/>
  <c r="J26" i="13"/>
  <c r="F26" i="13"/>
  <c r="J27" i="13"/>
  <c r="Q26" i="13"/>
  <c r="M26" i="13"/>
  <c r="I26" i="13"/>
  <c r="E27" i="13"/>
  <c r="F27" i="13"/>
  <c r="Q27" i="13"/>
  <c r="M27" i="13"/>
  <c r="I27" i="13"/>
  <c r="E26" i="13"/>
  <c r="O26" i="13"/>
  <c r="K26" i="13"/>
  <c r="G26" i="13"/>
  <c r="L26" i="13"/>
  <c r="R26" i="13"/>
  <c r="P26" i="13"/>
  <c r="H26" i="13"/>
  <c r="AV29" i="13"/>
  <c r="V15" i="13"/>
  <c r="V27" i="13" l="1"/>
  <c r="D31" i="13"/>
  <c r="C31" i="13"/>
  <c r="B31" i="13"/>
  <c r="D30" i="13"/>
  <c r="C30" i="13"/>
  <c r="B30" i="13"/>
  <c r="E28" i="13"/>
  <c r="D28" i="13"/>
  <c r="C28" i="13"/>
  <c r="B28" i="13"/>
  <c r="C17" i="13"/>
  <c r="B17" i="13"/>
</calcChain>
</file>

<file path=xl/comments1.xml><?xml version="1.0" encoding="utf-8"?>
<comments xmlns="http://schemas.openxmlformats.org/spreadsheetml/2006/main">
  <authors>
    <author>RM</author>
    <author>Kalle Kukk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G9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17" authorId="1" shapeId="0">
      <text>
        <r>
          <rPr>
            <b/>
            <sz val="9"/>
            <color indexed="81"/>
            <rFont val="Tahoma"/>
            <family val="2"/>
            <charset val="186"/>
          </rPr>
          <t>Kasutada Rahandusministeeriumi veebilehel värskeimaid kättesaadavaid andmeid.</t>
        </r>
      </text>
    </comment>
    <comment ref="AC60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C64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</commentList>
</comments>
</file>

<file path=xl/comments2.xml><?xml version="1.0" encoding="utf-8"?>
<comments xmlns="http://schemas.openxmlformats.org/spreadsheetml/2006/main">
  <authors>
    <author>RM</author>
    <author>Kalle Kukk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G9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17" authorId="1" shapeId="0">
      <text>
        <r>
          <rPr>
            <b/>
            <sz val="9"/>
            <color indexed="81"/>
            <rFont val="Tahoma"/>
            <family val="2"/>
            <charset val="186"/>
          </rPr>
          <t>Kasutada Rahandusministeeriumi veebilehel värskeimaid kättesaadavaid andmeid.</t>
        </r>
      </text>
    </comment>
    <comment ref="AC60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  <comment ref="AC84" authorId="0" shapeId="0">
      <text>
        <r>
          <rPr>
            <b/>
            <sz val="8"/>
            <color indexed="81"/>
            <rFont val="Tahoma"/>
            <family val="2"/>
            <charset val="186"/>
          </rPr>
          <t>RM:</t>
        </r>
        <r>
          <rPr>
            <sz val="8"/>
            <color indexed="81"/>
            <rFont val="Tahoma"/>
            <family val="2"/>
            <charset val="186"/>
          </rPr>
          <t xml:space="preserve">
Rahvastikuregister</t>
        </r>
      </text>
    </comment>
  </commentList>
</comments>
</file>

<file path=xl/sharedStrings.xml><?xml version="1.0" encoding="utf-8"?>
<sst xmlns="http://schemas.openxmlformats.org/spreadsheetml/2006/main" count="407" uniqueCount="162">
  <si>
    <t>Jaanuar</t>
  </si>
  <si>
    <t>Veebruar</t>
  </si>
  <si>
    <t>Märts</t>
  </si>
  <si>
    <t>Aprill</t>
  </si>
  <si>
    <t>Mai</t>
  </si>
  <si>
    <t>Juuni</t>
  </si>
  <si>
    <t xml:space="preserve">Juuli </t>
  </si>
  <si>
    <t>August</t>
  </si>
  <si>
    <t>September</t>
  </si>
  <si>
    <t>Oktoober</t>
  </si>
  <si>
    <t>November</t>
  </si>
  <si>
    <t>Detsember</t>
  </si>
  <si>
    <t>KOKKU</t>
  </si>
  <si>
    <t>I kvatral</t>
  </si>
  <si>
    <t>II kvartal</t>
  </si>
  <si>
    <t>III kvartal</t>
  </si>
  <si>
    <t>IV kvartal</t>
  </si>
  <si>
    <t>Kasv eelm. a.-ga võr.</t>
  </si>
  <si>
    <t>plaaniline</t>
  </si>
  <si>
    <t>Pl.-ga võrreldes</t>
  </si>
  <si>
    <t>Kuu keskmine</t>
  </si>
  <si>
    <t>Tulumaks eurodes</t>
  </si>
  <si>
    <t xml:space="preserve"> </t>
  </si>
  <si>
    <t>Muutus eelmise aastaga:</t>
  </si>
  <si>
    <t>Tekkepõhine</t>
  </si>
  <si>
    <t>Kassapõhine</t>
  </si>
  <si>
    <t>Eraldise %</t>
  </si>
  <si>
    <t>Tekkepõhine tegelik täitmine selgub järgmise kuu lõpus</t>
  </si>
  <si>
    <t>Aasta</t>
  </si>
  <si>
    <t>Maksumaksjaid</t>
  </si>
  <si>
    <t>Maksustatav tulu</t>
  </si>
  <si>
    <t>võrreldes</t>
  </si>
  <si>
    <t>eelarvega</t>
  </si>
  <si>
    <t>keskmine %</t>
  </si>
  <si>
    <t>EA-st täidetud</t>
  </si>
  <si>
    <t>Aasta keskmine</t>
  </si>
  <si>
    <t>Viljandi linn</t>
  </si>
  <si>
    <t>2021</t>
  </si>
  <si>
    <t>2022 tegelik tulu</t>
  </si>
  <si>
    <t>laekumine võrreldes 2022 eelarvega</t>
  </si>
  <si>
    <t>laekumine võrreldes 2022 eelarvega %</t>
  </si>
  <si>
    <t>2022 vs 2021 %</t>
  </si>
  <si>
    <t>2022 vs 2021</t>
  </si>
  <si>
    <t>Tulumaksu laekumise andmed</t>
  </si>
  <si>
    <t>Näitaja</t>
  </si>
  <si>
    <t>2019 eeldatav</t>
  </si>
  <si>
    <t>2020 eelarve</t>
  </si>
  <si>
    <t>Maksumaksjate arv</t>
  </si>
  <si>
    <t>(Riskistsenaarium B)</t>
  </si>
  <si>
    <t>Demograafiline struktuur s. 01.01.2020</t>
  </si>
  <si>
    <t>Maksumaksjate arvu muutus</t>
  </si>
  <si>
    <t>lapsed 0-6</t>
  </si>
  <si>
    <t>lapsed 7-18</t>
  </si>
  <si>
    <t>lapsed 7-15</t>
  </si>
  <si>
    <t>tööealised 19-64</t>
  </si>
  <si>
    <t>eakad 65-…</t>
  </si>
  <si>
    <t>Rahvaarv KOKKU</t>
  </si>
  <si>
    <t>Väljamaksed füüsilistele isikutele</t>
  </si>
  <si>
    <t>Sissetulek inimese kohta kuus</t>
  </si>
  <si>
    <t>Demograafiline struktuur s. 01.01.2019</t>
  </si>
  <si>
    <t>Sissetuleku kasv</t>
  </si>
  <si>
    <t>(Riskistsenaarium A)</t>
  </si>
  <si>
    <t>Sissetuleku kasv Eestis kokku</t>
  </si>
  <si>
    <t>Muude kriteeriumite mõju</t>
  </si>
  <si>
    <t>muutus 2020-2019</t>
  </si>
  <si>
    <t>Tulumaksu laekumine</t>
  </si>
  <si>
    <t>Tulumaksu laekumise kasv</t>
  </si>
  <si>
    <t>Tulumaksu eraldamise %</t>
  </si>
  <si>
    <t>* Möödunud perioodide kohta Rahandusministeeriumi andmed</t>
  </si>
  <si>
    <t>2008 vs 2010</t>
  </si>
  <si>
    <t>Muutus kokku</t>
  </si>
  <si>
    <t>2008 vs 2013</t>
  </si>
  <si>
    <t>Maamaksust maha, tulumaksule juurde 0,17%</t>
  </si>
  <si>
    <t>2007 vs 2013</t>
  </si>
  <si>
    <t>Muutus seoses maksumaksjate arvu ja sissetulekuga</t>
  </si>
  <si>
    <t>maksumaksjate arv = aasta keskmine</t>
  </si>
  <si>
    <t>Muutus eelneva aastaga</t>
  </si>
  <si>
    <t>2015 a eelarves</t>
  </si>
  <si>
    <t>Eelarvestrateegias I lugemisel</t>
  </si>
  <si>
    <t>I ja II lugemise prognooside vahe</t>
  </si>
  <si>
    <t>Eelarves</t>
  </si>
  <si>
    <t>laekumine eelneva aasta eraldamise %-ga</t>
  </si>
  <si>
    <t>vahe</t>
  </si>
  <si>
    <t>kui % oleks ikka 11,93%</t>
  </si>
  <si>
    <t>2019 I lisaEA-ga</t>
  </si>
  <si>
    <t>2020. a sügisel koostatav strateegia</t>
  </si>
  <si>
    <t>2019. a sügisel kinnitatud: https://www.riigiteataja.ee/akt/408112019029</t>
  </si>
  <si>
    <t>strateegia</t>
  </si>
  <si>
    <t>2017 tegelik</t>
  </si>
  <si>
    <t>2018 tegelik</t>
  </si>
  <si>
    <t>2019 tegelik</t>
  </si>
  <si>
    <t>2020 tegelik</t>
  </si>
  <si>
    <t>2022 eelarve I lugemine</t>
  </si>
  <si>
    <t>2020 I lisa-eelarvega</t>
  </si>
  <si>
    <t>2020 eeldatav</t>
  </si>
  <si>
    <t>2022 eelarve II lugemine</t>
  </si>
  <si>
    <t>Sissetuleku kasv Eestis kokku*</t>
  </si>
  <si>
    <t>II lisa EA vs I</t>
  </si>
  <si>
    <t>Demograafiline struktuur seisuga 01.01.2020</t>
  </si>
  <si>
    <t>2023 alampalk +8%</t>
  </si>
  <si>
    <t>2024 alampalk +5%</t>
  </si>
  <si>
    <t>2025 alampalk + 5%</t>
  </si>
  <si>
    <t>*Swedbanki 16.11.2021 majandusprognoos</t>
  </si>
  <si>
    <t>2024 alampalk +8%</t>
  </si>
  <si>
    <t>2025 alampalk +5%</t>
  </si>
  <si>
    <t>2026 alampalk + 5%</t>
  </si>
  <si>
    <t>lapsed 0-7</t>
  </si>
  <si>
    <t>tööealised 19-65</t>
  </si>
  <si>
    <t>**Eesti Pank majandusprognoos 16.12.2021</t>
  </si>
  <si>
    <t>2025 alampalk +8%</t>
  </si>
  <si>
    <t>2026 alampalk +5%</t>
  </si>
  <si>
    <t>2027 alampalk + 5%</t>
  </si>
  <si>
    <t>lapsed 0-8</t>
  </si>
  <si>
    <t>tööealised 19-66</t>
  </si>
  <si>
    <t>https://www.eestipank.ee/press/prognoos-kiire-hinnakasv-raugeb-eeldatavasti-jargmise-aasta-teises-pooles-21122021</t>
  </si>
  <si>
    <t>2026 alampalk +8%</t>
  </si>
  <si>
    <t>2027 alampalk +5%</t>
  </si>
  <si>
    <t>2028 alampalk + 5%</t>
  </si>
  <si>
    <t>lapsed 0-9</t>
  </si>
  <si>
    <t>tööealised 19-67</t>
  </si>
  <si>
    <t>2027 alampalk +8%</t>
  </si>
  <si>
    <t>2028 alampalk +5%</t>
  </si>
  <si>
    <t>2029 alampalk + 5%</t>
  </si>
  <si>
    <t>lapsed 0-10</t>
  </si>
  <si>
    <t>tööealised 19-68</t>
  </si>
  <si>
    <t>2028 alampalk +8%</t>
  </si>
  <si>
    <t>2029 alampalk +5%</t>
  </si>
  <si>
    <t>2030 alampalk + 5%</t>
  </si>
  <si>
    <t>lapsed 0-11</t>
  </si>
  <si>
    <t>tööealised 19-69</t>
  </si>
  <si>
    <t>2029 alampalk +8%</t>
  </si>
  <si>
    <t>2030 alampalk +5%</t>
  </si>
  <si>
    <t>2031 alampalk + 5%</t>
  </si>
  <si>
    <t>lapsed 0-12</t>
  </si>
  <si>
    <t>tööealised 19-70</t>
  </si>
  <si>
    <t>I lug oli:</t>
  </si>
  <si>
    <t>Vahe summas</t>
  </si>
  <si>
    <t>2021 tegelik</t>
  </si>
  <si>
    <t>2022 algne eelarve</t>
  </si>
  <si>
    <t>2022 lisaeelarve</t>
  </si>
  <si>
    <t>2022 eelarve koos I lisaeelarvega</t>
  </si>
  <si>
    <t>muutus</t>
  </si>
  <si>
    <t>variant 1</t>
  </si>
  <si>
    <t>variant 2</t>
  </si>
  <si>
    <t>variant 3</t>
  </si>
  <si>
    <t>2021 eelarve</t>
  </si>
  <si>
    <t>2021 
tegelik</t>
  </si>
  <si>
    <t xml:space="preserve">2022 eelarve </t>
  </si>
  <si>
    <t>2022 
I lisaeelarve</t>
  </si>
  <si>
    <t>Muutus 
I lisa-eelarvega</t>
  </si>
  <si>
    <t>2023 prognoos</t>
  </si>
  <si>
    <t>2024 prognoos</t>
  </si>
  <si>
    <t>2025 prognoos</t>
  </si>
  <si>
    <t>2026 prognoos</t>
  </si>
  <si>
    <t>2027 prognoos</t>
  </si>
  <si>
    <t>2028 prognoos</t>
  </si>
  <si>
    <t>võrreldes 2021.-ga</t>
  </si>
  <si>
    <t>*Eesti Pank - majandusprognoos märtsis 2022</t>
  </si>
  <si>
    <t>Eesti Panga majandusprognoos 30.03.2022</t>
  </si>
  <si>
    <t>2022 eelarve koos lisaeelarvega</t>
  </si>
  <si>
    <t>TM laekumise prognoosi muutus</t>
  </si>
  <si>
    <t>võrreldes 2021
6 kuuga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</si>
</sst>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\ &quot;€&quot;"/>
    <numFmt numFmtId="166" formatCode="0.0%"/>
    <numFmt numFmtId="167" formatCode="#,##0.00000"/>
  </numFmts>
  <fonts count="42" x14ac:knownFonts="1">
    <font>
      <sz val="10"/>
      <name val="Arial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sz val="7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8"/>
      <name val="Times New Roman"/>
      <family val="1"/>
      <charset val="186"/>
    </font>
    <font>
      <i/>
      <sz val="8"/>
      <name val="Times New Roman"/>
      <family val="1"/>
      <charset val="186"/>
    </font>
    <font>
      <sz val="8"/>
      <name val="Times New Roman"/>
      <family val="1"/>
      <charset val="186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  <charset val="186"/>
    </font>
    <font>
      <sz val="8"/>
      <name val="Times New Roman"/>
      <family val="1"/>
    </font>
    <font>
      <sz val="10"/>
      <color theme="1"/>
      <name val="Arial"/>
      <family val="2"/>
      <charset val="186"/>
    </font>
    <font>
      <i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i/>
      <sz val="12"/>
      <name val="Times New Roman"/>
      <family val="1"/>
      <charset val="186"/>
    </font>
    <font>
      <b/>
      <sz val="10"/>
      <name val="Arial"/>
      <family val="2"/>
      <charset val="186"/>
    </font>
    <font>
      <b/>
      <sz val="10"/>
      <color theme="1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2"/>
      <name val="Times New Roman"/>
      <family val="1"/>
    </font>
    <font>
      <sz val="8"/>
      <name val="Arial"/>
      <family val="2"/>
    </font>
    <font>
      <sz val="11"/>
      <color indexed="8"/>
      <name val="Calibri"/>
      <family val="2"/>
      <charset val="186"/>
    </font>
    <font>
      <sz val="12"/>
      <name val="Arial"/>
      <family val="2"/>
    </font>
    <font>
      <i/>
      <sz val="8"/>
      <name val="Arial"/>
      <family val="2"/>
    </font>
    <font>
      <sz val="12"/>
      <name val="Times New Roman"/>
      <family val="1"/>
    </font>
    <font>
      <i/>
      <sz val="12"/>
      <name val="Times New Roman"/>
      <family val="1"/>
    </font>
    <font>
      <u/>
      <sz val="10"/>
      <color theme="10"/>
      <name val="Arial"/>
      <family val="2"/>
    </font>
    <font>
      <b/>
      <sz val="8"/>
      <color indexed="81"/>
      <name val="Tahoma"/>
      <family val="2"/>
      <charset val="186"/>
    </font>
    <font>
      <sz val="8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i/>
      <sz val="9"/>
      <name val="Times New Roman"/>
      <family val="1"/>
    </font>
    <font>
      <sz val="20"/>
      <color rgb="FFFF0000"/>
      <name val="Arial"/>
      <family val="2"/>
    </font>
    <font>
      <b/>
      <sz val="12"/>
      <color rgb="FFFF0000"/>
      <name val="Times New Roman"/>
      <family val="1"/>
    </font>
    <font>
      <sz val="12"/>
      <color rgb="FF0070C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29" fillId="11" borderId="0" applyNumberFormat="0" applyBorder="0" applyAlignment="0" applyProtection="0"/>
    <xf numFmtId="0" fontId="19" fillId="0" borderId="0"/>
    <xf numFmtId="0" fontId="34" fillId="0" borderId="0" applyNumberFormat="0" applyFill="0" applyBorder="0" applyAlignment="0" applyProtection="0"/>
    <xf numFmtId="9" fontId="19" fillId="0" borderId="0" applyFont="0" applyFill="0" applyBorder="0" applyAlignment="0" applyProtection="0"/>
  </cellStyleXfs>
  <cellXfs count="330">
    <xf numFmtId="0" fontId="0" fillId="0" borderId="0" xfId="0"/>
    <xf numFmtId="0" fontId="3" fillId="0" borderId="0" xfId="0" applyFont="1" applyAlignment="1"/>
    <xf numFmtId="0" fontId="3" fillId="0" borderId="0" xfId="0" applyFont="1"/>
    <xf numFmtId="0" fontId="4" fillId="0" borderId="0" xfId="0" applyFont="1"/>
    <xf numFmtId="0" fontId="3" fillId="0" borderId="0" xfId="0" applyFont="1" applyFill="1"/>
    <xf numFmtId="0" fontId="5" fillId="2" borderId="16" xfId="1" applyFont="1" applyFill="1" applyBorder="1" applyAlignment="1">
      <alignment horizontal="center" vertical="center" wrapText="1"/>
    </xf>
    <xf numFmtId="0" fontId="6" fillId="0" borderId="0" xfId="0" applyFont="1"/>
    <xf numFmtId="3" fontId="5" fillId="0" borderId="12" xfId="1" applyNumberFormat="1" applyFont="1" applyFill="1" applyBorder="1"/>
    <xf numFmtId="0" fontId="5" fillId="0" borderId="1" xfId="1" applyFont="1" applyFill="1" applyBorder="1"/>
    <xf numFmtId="3" fontId="3" fillId="0" borderId="1" xfId="1" applyNumberFormat="1" applyFont="1" applyFill="1" applyBorder="1"/>
    <xf numFmtId="3" fontId="3" fillId="0" borderId="0" xfId="0" applyNumberFormat="1" applyFont="1" applyFill="1"/>
    <xf numFmtId="3" fontId="3" fillId="0" borderId="3" xfId="0" applyNumberFormat="1" applyFont="1" applyFill="1" applyBorder="1"/>
    <xf numFmtId="3" fontId="3" fillId="0" borderId="5" xfId="0" applyNumberFormat="1" applyFont="1" applyBorder="1"/>
    <xf numFmtId="3" fontId="3" fillId="0" borderId="5" xfId="0" applyNumberFormat="1" applyFont="1" applyFill="1" applyBorder="1"/>
    <xf numFmtId="0" fontId="3" fillId="0" borderId="5" xfId="0" applyFont="1" applyBorder="1"/>
    <xf numFmtId="0" fontId="3" fillId="0" borderId="5" xfId="0" applyFont="1" applyFill="1" applyBorder="1"/>
    <xf numFmtId="0" fontId="3" fillId="0" borderId="0" xfId="0" applyFont="1" applyAlignment="1">
      <alignment wrapText="1"/>
    </xf>
    <xf numFmtId="0" fontId="7" fillId="0" borderId="4" xfId="0" applyFont="1" applyBorder="1" applyAlignment="1">
      <alignment horizontal="justify" vertical="center"/>
    </xf>
    <xf numFmtId="3" fontId="3" fillId="0" borderId="0" xfId="0" applyNumberFormat="1" applyFont="1" applyBorder="1"/>
    <xf numFmtId="3" fontId="3" fillId="0" borderId="0" xfId="0" applyNumberFormat="1" applyFont="1" applyFill="1" applyBorder="1"/>
    <xf numFmtId="10" fontId="8" fillId="0" borderId="0" xfId="2" applyNumberFormat="1" applyFont="1" applyFill="1"/>
    <xf numFmtId="9" fontId="3" fillId="0" borderId="0" xfId="2" applyFont="1"/>
    <xf numFmtId="3" fontId="3" fillId="0" borderId="4" xfId="0" applyNumberFormat="1" applyFont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9" fontId="8" fillId="0" borderId="4" xfId="2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165" fontId="9" fillId="0" borderId="4" xfId="0" applyNumberFormat="1" applyFont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4" fontId="3" fillId="0" borderId="0" xfId="0" applyNumberFormat="1" applyFont="1"/>
    <xf numFmtId="3" fontId="3" fillId="0" borderId="0" xfId="0" applyNumberFormat="1" applyFont="1"/>
    <xf numFmtId="0" fontId="5" fillId="0" borderId="4" xfId="1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vertical="center"/>
    </xf>
    <xf numFmtId="3" fontId="5" fillId="0" borderId="4" xfId="1" applyNumberFormat="1" applyFont="1" applyFill="1" applyBorder="1" applyAlignment="1">
      <alignment vertical="center"/>
    </xf>
    <xf numFmtId="0" fontId="3" fillId="0" borderId="13" xfId="1" applyFont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1" applyNumberFormat="1" applyFont="1" applyFill="1" applyBorder="1" applyAlignment="1">
      <alignment vertical="center"/>
    </xf>
    <xf numFmtId="0" fontId="3" fillId="0" borderId="9" xfId="1" applyFont="1" applyBorder="1" applyAlignment="1">
      <alignment vertical="center"/>
    </xf>
    <xf numFmtId="3" fontId="3" fillId="0" borderId="2" xfId="1" applyNumberFormat="1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vertical="center"/>
    </xf>
    <xf numFmtId="3" fontId="6" fillId="0" borderId="2" xfId="1" applyNumberFormat="1" applyFont="1" applyFill="1" applyBorder="1" applyAlignment="1">
      <alignment vertical="center"/>
    </xf>
    <xf numFmtId="0" fontId="3" fillId="0" borderId="10" xfId="1" applyFont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1" applyNumberFormat="1" applyFont="1" applyFill="1" applyBorder="1" applyAlignment="1">
      <alignment vertical="center"/>
    </xf>
    <xf numFmtId="0" fontId="5" fillId="2" borderId="7" xfId="1" applyFont="1" applyFill="1" applyBorder="1" applyAlignment="1">
      <alignment vertical="center"/>
    </xf>
    <xf numFmtId="3" fontId="5" fillId="2" borderId="8" xfId="0" applyNumberFormat="1" applyFont="1" applyFill="1" applyBorder="1" applyAlignment="1">
      <alignment vertical="center"/>
    </xf>
    <xf numFmtId="0" fontId="3" fillId="3" borderId="24" xfId="0" applyFont="1" applyFill="1" applyBorder="1" applyAlignment="1">
      <alignment horizontal="center"/>
    </xf>
    <xf numFmtId="0" fontId="3" fillId="0" borderId="9" xfId="1" applyFont="1" applyFill="1" applyBorder="1" applyAlignment="1">
      <alignment vertical="center"/>
    </xf>
    <xf numFmtId="0" fontId="6" fillId="0" borderId="9" xfId="1" applyFont="1" applyFill="1" applyBorder="1" applyAlignment="1">
      <alignment vertical="center"/>
    </xf>
    <xf numFmtId="0" fontId="5" fillId="0" borderId="27" xfId="1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3" fontId="6" fillId="0" borderId="15" xfId="1" applyNumberFormat="1" applyFont="1" applyFill="1" applyBorder="1" applyAlignment="1">
      <alignment vertical="center"/>
    </xf>
    <xf numFmtId="3" fontId="3" fillId="2" borderId="15" xfId="1" applyNumberFormat="1" applyFont="1" applyFill="1" applyBorder="1"/>
    <xf numFmtId="3" fontId="3" fillId="2" borderId="2" xfId="1" applyNumberFormat="1" applyFont="1" applyFill="1" applyBorder="1"/>
    <xf numFmtId="3" fontId="6" fillId="2" borderId="2" xfId="1" applyNumberFormat="1" applyFont="1" applyFill="1" applyBorder="1"/>
    <xf numFmtId="3" fontId="3" fillId="2" borderId="11" xfId="1" applyNumberFormat="1" applyFont="1" applyFill="1" applyBorder="1"/>
    <xf numFmtId="3" fontId="3" fillId="2" borderId="20" xfId="1" applyNumberFormat="1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24" xfId="0" applyFont="1" applyBorder="1"/>
    <xf numFmtId="3" fontId="3" fillId="0" borderId="24" xfId="0" applyNumberFormat="1" applyFont="1" applyBorder="1"/>
    <xf numFmtId="3" fontId="3" fillId="0" borderId="24" xfId="0" applyNumberFormat="1" applyFont="1" applyBorder="1" applyAlignment="1">
      <alignment vertical="center"/>
    </xf>
    <xf numFmtId="0" fontId="3" fillId="0" borderId="0" xfId="0" quotePrefix="1" applyFont="1"/>
    <xf numFmtId="3" fontId="9" fillId="0" borderId="33" xfId="0" applyNumberFormat="1" applyFont="1" applyBorder="1" applyAlignment="1">
      <alignment vertical="center"/>
    </xf>
    <xf numFmtId="3" fontId="9" fillId="0" borderId="27" xfId="0" applyNumberFormat="1" applyFont="1" applyFill="1" applyBorder="1" applyAlignment="1">
      <alignment vertical="center"/>
    </xf>
    <xf numFmtId="3" fontId="11" fillId="4" borderId="15" xfId="1" applyNumberFormat="1" applyFont="1" applyFill="1" applyBorder="1" applyAlignment="1">
      <alignment vertical="center"/>
    </xf>
    <xf numFmtId="0" fontId="13" fillId="4" borderId="18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3" borderId="30" xfId="0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3" fontId="11" fillId="3" borderId="31" xfId="1" applyNumberFormat="1" applyFont="1" applyFill="1" applyBorder="1" applyAlignment="1">
      <alignment vertical="center"/>
    </xf>
    <xf numFmtId="10" fontId="3" fillId="3" borderId="20" xfId="2" applyNumberFormat="1" applyFont="1" applyFill="1" applyBorder="1" applyAlignment="1">
      <alignment vertical="center"/>
    </xf>
    <xf numFmtId="3" fontId="5" fillId="3" borderId="32" xfId="1" applyNumberFormat="1" applyFont="1" applyFill="1" applyBorder="1" applyAlignment="1">
      <alignment vertical="center"/>
    </xf>
    <xf numFmtId="3" fontId="11" fillId="3" borderId="15" xfId="1" applyNumberFormat="1" applyFont="1" applyFill="1" applyBorder="1" applyAlignment="1">
      <alignment vertical="center"/>
    </xf>
    <xf numFmtId="3" fontId="11" fillId="3" borderId="2" xfId="1" applyNumberFormat="1" applyFont="1" applyFill="1" applyBorder="1" applyAlignment="1">
      <alignment vertical="center"/>
    </xf>
    <xf numFmtId="3" fontId="11" fillId="3" borderId="12" xfId="1" applyNumberFormat="1" applyFont="1" applyFill="1" applyBorder="1" applyAlignment="1">
      <alignment vertical="center"/>
    </xf>
    <xf numFmtId="0" fontId="14" fillId="2" borderId="19" xfId="0" applyFont="1" applyFill="1" applyBorder="1" applyAlignment="1">
      <alignment horizontal="center" vertical="center" wrapText="1"/>
    </xf>
    <xf numFmtId="10" fontId="15" fillId="0" borderId="0" xfId="2" applyNumberFormat="1" applyFont="1" applyFill="1"/>
    <xf numFmtId="10" fontId="3" fillId="0" borderId="15" xfId="2" applyNumberFormat="1" applyFont="1" applyBorder="1" applyAlignment="1">
      <alignment vertical="center"/>
    </xf>
    <xf numFmtId="0" fontId="9" fillId="0" borderId="4" xfId="0" applyFont="1" applyBorder="1" applyAlignment="1">
      <alignment vertical="center" wrapText="1"/>
    </xf>
    <xf numFmtId="3" fontId="11" fillId="4" borderId="12" xfId="1" applyNumberFormat="1" applyFont="1" applyFill="1" applyBorder="1" applyAlignment="1">
      <alignment vertical="center"/>
    </xf>
    <xf numFmtId="0" fontId="9" fillId="0" borderId="0" xfId="0" applyFont="1"/>
    <xf numFmtId="3" fontId="12" fillId="3" borderId="2" xfId="1" applyNumberFormat="1" applyFont="1" applyFill="1" applyBorder="1" applyAlignment="1">
      <alignment vertical="center"/>
    </xf>
    <xf numFmtId="3" fontId="12" fillId="3" borderId="11" xfId="1" applyNumberFormat="1" applyFont="1" applyFill="1" applyBorder="1" applyAlignment="1">
      <alignment vertical="center"/>
    </xf>
    <xf numFmtId="3" fontId="3" fillId="0" borderId="26" xfId="0" applyNumberFormat="1" applyFont="1" applyBorder="1"/>
    <xf numFmtId="3" fontId="11" fillId="3" borderId="29" xfId="1" applyNumberFormat="1" applyFont="1" applyFill="1" applyBorder="1" applyAlignment="1">
      <alignment vertical="center"/>
    </xf>
    <xf numFmtId="3" fontId="3" fillId="2" borderId="28" xfId="1" applyNumberFormat="1" applyFont="1" applyFill="1" applyBorder="1" applyAlignment="1">
      <alignment vertical="center"/>
    </xf>
    <xf numFmtId="49" fontId="5" fillId="2" borderId="17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 wrapText="1"/>
    </xf>
    <xf numFmtId="10" fontId="3" fillId="2" borderId="22" xfId="2" applyNumberFormat="1" applyFont="1" applyFill="1" applyBorder="1"/>
    <xf numFmtId="9" fontId="10" fillId="0" borderId="4" xfId="2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3" borderId="26" xfId="0" applyFont="1" applyFill="1" applyBorder="1" applyAlignment="1">
      <alignment horizontal="center" vertical="center"/>
    </xf>
    <xf numFmtId="3" fontId="9" fillId="0" borderId="2" xfId="0" applyNumberFormat="1" applyFont="1" applyBorder="1" applyAlignment="1">
      <alignment vertical="center"/>
    </xf>
    <xf numFmtId="0" fontId="3" fillId="3" borderId="34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right" vertical="top"/>
    </xf>
    <xf numFmtId="10" fontId="8" fillId="0" borderId="4" xfId="2" applyNumberFormat="1" applyFont="1" applyFill="1" applyBorder="1" applyAlignment="1">
      <alignment vertical="center"/>
    </xf>
    <xf numFmtId="10" fontId="3" fillId="3" borderId="25" xfId="2" applyNumberFormat="1" applyFont="1" applyFill="1" applyBorder="1" applyAlignment="1">
      <alignment horizontal="center"/>
    </xf>
    <xf numFmtId="10" fontId="3" fillId="3" borderId="35" xfId="2" applyNumberFormat="1" applyFont="1" applyFill="1" applyBorder="1" applyAlignment="1">
      <alignment vertical="center"/>
    </xf>
    <xf numFmtId="10" fontId="3" fillId="3" borderId="28" xfId="2" applyNumberFormat="1" applyFont="1" applyFill="1" applyBorder="1" applyAlignment="1">
      <alignment vertical="center"/>
    </xf>
    <xf numFmtId="10" fontId="3" fillId="2" borderId="36" xfId="2" applyNumberFormat="1" applyFont="1" applyFill="1" applyBorder="1"/>
    <xf numFmtId="0" fontId="18" fillId="0" borderId="0" xfId="0" applyFont="1" applyAlignment="1">
      <alignment horizontal="left" vertical="center"/>
    </xf>
    <xf numFmtId="0" fontId="9" fillId="3" borderId="26" xfId="0" applyFont="1" applyFill="1" applyBorder="1" applyAlignment="1">
      <alignment horizontal="center" vertical="top" wrapText="1"/>
    </xf>
    <xf numFmtId="10" fontId="9" fillId="3" borderId="25" xfId="2" applyNumberFormat="1" applyFont="1" applyFill="1" applyBorder="1" applyAlignment="1">
      <alignment horizontal="center"/>
    </xf>
    <xf numFmtId="3" fontId="20" fillId="5" borderId="0" xfId="3" applyNumberFormat="1" applyFont="1" applyFill="1" applyBorder="1"/>
    <xf numFmtId="0" fontId="19" fillId="0" borderId="0" xfId="3"/>
    <xf numFmtId="0" fontId="21" fillId="6" borderId="37" xfId="3" applyFont="1" applyFill="1" applyBorder="1" applyAlignment="1">
      <alignment horizontal="left" vertical="center"/>
    </xf>
    <xf numFmtId="1" fontId="22" fillId="6" borderId="37" xfId="3" applyNumberFormat="1" applyFont="1" applyFill="1" applyBorder="1" applyAlignment="1">
      <alignment horizontal="center" vertical="center"/>
    </xf>
    <xf numFmtId="1" fontId="22" fillId="6" borderId="37" xfId="3" applyNumberFormat="1" applyFont="1" applyFill="1" applyBorder="1" applyAlignment="1">
      <alignment horizontal="center" vertical="center" wrapText="1"/>
    </xf>
    <xf numFmtId="0" fontId="19" fillId="0" borderId="0" xfId="3" applyFill="1" applyAlignment="1">
      <alignment horizontal="center"/>
    </xf>
    <xf numFmtId="0" fontId="21" fillId="0" borderId="1" xfId="3" applyFont="1" applyFill="1" applyBorder="1" applyAlignment="1">
      <alignment horizontal="center" vertical="center"/>
    </xf>
    <xf numFmtId="1" fontId="22" fillId="0" borderId="1" xfId="3" applyNumberFormat="1" applyFont="1" applyFill="1" applyBorder="1" applyAlignment="1">
      <alignment horizontal="center" vertical="center"/>
    </xf>
    <xf numFmtId="3" fontId="21" fillId="6" borderId="14" xfId="3" applyNumberFormat="1" applyFont="1" applyFill="1" applyBorder="1"/>
    <xf numFmtId="3" fontId="23" fillId="6" borderId="14" xfId="3" applyNumberFormat="1" applyFont="1" applyFill="1" applyBorder="1"/>
    <xf numFmtId="0" fontId="19" fillId="7" borderId="0" xfId="3" applyFill="1"/>
    <xf numFmtId="0" fontId="1" fillId="7" borderId="0" xfId="3" applyFont="1" applyFill="1"/>
    <xf numFmtId="3" fontId="21" fillId="9" borderId="4" xfId="3" applyNumberFormat="1" applyFont="1" applyFill="1" applyBorder="1"/>
    <xf numFmtId="166" fontId="21" fillId="9" borderId="4" xfId="3" applyNumberFormat="1" applyFont="1" applyFill="1" applyBorder="1"/>
    <xf numFmtId="9" fontId="21" fillId="9" borderId="4" xfId="3" applyNumberFormat="1" applyFont="1" applyFill="1" applyBorder="1"/>
    <xf numFmtId="0" fontId="24" fillId="10" borderId="4" xfId="4" applyFont="1" applyFill="1" applyBorder="1" applyAlignment="1">
      <alignment horizontal="center" wrapText="1"/>
    </xf>
    <xf numFmtId="0" fontId="24" fillId="8" borderId="4" xfId="4" applyFont="1" applyFill="1" applyBorder="1" applyAlignment="1">
      <alignment horizontal="center" wrapText="1"/>
    </xf>
    <xf numFmtId="0" fontId="19" fillId="0" borderId="0" xfId="5" applyAlignment="1"/>
    <xf numFmtId="3" fontId="21" fillId="0" borderId="4" xfId="3" applyNumberFormat="1" applyFont="1" applyBorder="1"/>
    <xf numFmtId="3" fontId="21" fillId="0" borderId="4" xfId="3" applyNumberFormat="1" applyFont="1" applyFill="1" applyBorder="1"/>
    <xf numFmtId="0" fontId="21" fillId="0" borderId="4" xfId="3" applyFont="1" applyFill="1" applyBorder="1"/>
    <xf numFmtId="0" fontId="21" fillId="0" borderId="4" xfId="3" applyFont="1" applyBorder="1"/>
    <xf numFmtId="3" fontId="21" fillId="6" borderId="4" xfId="3" applyNumberFormat="1" applyFont="1" applyFill="1" applyBorder="1"/>
    <xf numFmtId="3" fontId="21" fillId="10" borderId="4" xfId="3" applyNumberFormat="1" applyFont="1" applyFill="1" applyBorder="1"/>
    <xf numFmtId="166" fontId="21" fillId="10" borderId="4" xfId="3" applyNumberFormat="1" applyFont="1" applyFill="1" applyBorder="1"/>
    <xf numFmtId="10" fontId="21" fillId="9" borderId="4" xfId="3" applyNumberFormat="1" applyFont="1" applyFill="1" applyBorder="1"/>
    <xf numFmtId="0" fontId="26" fillId="7" borderId="0" xfId="3" applyFont="1" applyFill="1"/>
    <xf numFmtId="0" fontId="17" fillId="0" borderId="0" xfId="5" applyFont="1" applyAlignment="1"/>
    <xf numFmtId="0" fontId="19" fillId="0" borderId="0" xfId="3" applyFill="1"/>
    <xf numFmtId="3" fontId="21" fillId="0" borderId="0" xfId="3" applyNumberFormat="1" applyFont="1"/>
    <xf numFmtId="167" fontId="21" fillId="0" borderId="0" xfId="3" applyNumberFormat="1" applyFont="1" applyFill="1"/>
    <xf numFmtId="3" fontId="21" fillId="0" borderId="0" xfId="3" applyNumberFormat="1" applyFont="1" applyFill="1"/>
    <xf numFmtId="0" fontId="21" fillId="0" borderId="0" xfId="3" applyFont="1" applyFill="1"/>
    <xf numFmtId="0" fontId="21" fillId="0" borderId="0" xfId="3" applyFont="1"/>
    <xf numFmtId="0" fontId="21" fillId="0" borderId="0" xfId="3" applyFont="1" applyAlignment="1">
      <alignment horizontal="right"/>
    </xf>
    <xf numFmtId="3" fontId="27" fillId="6" borderId="4" xfId="3" applyNumberFormat="1" applyFont="1" applyFill="1" applyBorder="1"/>
    <xf numFmtId="3" fontId="28" fillId="0" borderId="0" xfId="3" applyNumberFormat="1" applyFont="1" applyFill="1" applyAlignment="1">
      <alignment wrapText="1"/>
    </xf>
    <xf numFmtId="166" fontId="19" fillId="0" borderId="0" xfId="3" applyNumberFormat="1" applyFont="1"/>
    <xf numFmtId="166" fontId="24" fillId="0" borderId="0" xfId="6" applyNumberFormat="1" applyFont="1" applyAlignment="1">
      <alignment vertical="center"/>
    </xf>
    <xf numFmtId="3" fontId="24" fillId="0" borderId="0" xfId="3" applyNumberFormat="1" applyFont="1" applyFill="1" applyAlignment="1">
      <alignment vertical="center"/>
    </xf>
    <xf numFmtId="166" fontId="19" fillId="0" borderId="0" xfId="3" applyNumberFormat="1" applyFont="1" applyFill="1"/>
    <xf numFmtId="0" fontId="19" fillId="0" borderId="22" xfId="3" applyBorder="1"/>
    <xf numFmtId="0" fontId="19" fillId="0" borderId="22" xfId="3" applyFont="1" applyBorder="1" applyAlignment="1">
      <alignment horizontal="right" vertical="center"/>
    </xf>
    <xf numFmtId="3" fontId="29" fillId="11" borderId="22" xfId="7" applyNumberFormat="1" applyBorder="1" applyAlignment="1">
      <alignment vertical="center"/>
    </xf>
    <xf numFmtId="3" fontId="19" fillId="0" borderId="0" xfId="3" applyNumberFormat="1" applyFont="1"/>
    <xf numFmtId="3" fontId="19" fillId="0" borderId="0" xfId="3" applyNumberFormat="1" applyFont="1" applyFill="1"/>
    <xf numFmtId="0" fontId="19" fillId="0" borderId="0" xfId="3" applyFont="1" applyAlignment="1">
      <alignment horizontal="right"/>
    </xf>
    <xf numFmtId="3" fontId="29" fillId="11" borderId="0" xfId="7" applyNumberFormat="1" applyAlignment="1">
      <alignment vertical="center"/>
    </xf>
    <xf numFmtId="0" fontId="1" fillId="0" borderId="0" xfId="3" applyFont="1"/>
    <xf numFmtId="3" fontId="19" fillId="0" borderId="0" xfId="3" applyNumberFormat="1"/>
    <xf numFmtId="3" fontId="1" fillId="0" borderId="0" xfId="5" applyNumberFormat="1" applyFont="1"/>
    <xf numFmtId="3" fontId="1" fillId="0" borderId="0" xfId="5" applyNumberFormat="1" applyFont="1" applyAlignment="1">
      <alignment horizontal="right"/>
    </xf>
    <xf numFmtId="0" fontId="19" fillId="0" borderId="0" xfId="3" applyFont="1"/>
    <xf numFmtId="3" fontId="21" fillId="6" borderId="0" xfId="3" applyNumberFormat="1" applyFont="1" applyFill="1" applyBorder="1"/>
    <xf numFmtId="10" fontId="19" fillId="0" borderId="0" xfId="6" applyNumberFormat="1" applyFont="1"/>
    <xf numFmtId="10" fontId="19" fillId="0" borderId="0" xfId="3" applyNumberFormat="1"/>
    <xf numFmtId="3" fontId="20" fillId="5" borderId="0" xfId="8" applyNumberFormat="1" applyFont="1" applyFill="1" applyBorder="1"/>
    <xf numFmtId="3" fontId="20" fillId="12" borderId="0" xfId="8" applyNumberFormat="1" applyFont="1" applyFill="1" applyBorder="1"/>
    <xf numFmtId="3" fontId="20" fillId="3" borderId="0" xfId="8" applyNumberFormat="1" applyFont="1" applyFill="1" applyBorder="1"/>
    <xf numFmtId="3" fontId="30" fillId="13" borderId="0" xfId="8" applyNumberFormat="1" applyFont="1" applyFill="1" applyBorder="1"/>
    <xf numFmtId="3" fontId="20" fillId="13" borderId="0" xfId="8" applyNumberFormat="1" applyFont="1" applyFill="1" applyBorder="1"/>
    <xf numFmtId="0" fontId="19" fillId="0" borderId="0" xfId="8"/>
    <xf numFmtId="0" fontId="19" fillId="12" borderId="0" xfId="8" applyFill="1"/>
    <xf numFmtId="0" fontId="19" fillId="3" borderId="0" xfId="8" applyFill="1"/>
    <xf numFmtId="0" fontId="19" fillId="13" borderId="0" xfId="8" applyFill="1" applyAlignment="1">
      <alignment horizontal="center"/>
    </xf>
    <xf numFmtId="0" fontId="21" fillId="6" borderId="16" xfId="8" applyFont="1" applyFill="1" applyBorder="1" applyAlignment="1">
      <alignment horizontal="left" vertical="center"/>
    </xf>
    <xf numFmtId="1" fontId="22" fillId="6" borderId="17" xfId="8" applyNumberFormat="1" applyFont="1" applyFill="1" applyBorder="1" applyAlignment="1">
      <alignment horizontal="center" vertical="center"/>
    </xf>
    <xf numFmtId="1" fontId="22" fillId="6" borderId="17" xfId="8" applyNumberFormat="1" applyFont="1" applyFill="1" applyBorder="1" applyAlignment="1">
      <alignment horizontal="center" vertical="center" wrapText="1"/>
    </xf>
    <xf numFmtId="1" fontId="22" fillId="6" borderId="18" xfId="8" applyNumberFormat="1" applyFont="1" applyFill="1" applyBorder="1" applyAlignment="1">
      <alignment horizontal="center" vertical="center" wrapText="1"/>
    </xf>
    <xf numFmtId="1" fontId="22" fillId="6" borderId="21" xfId="8" applyNumberFormat="1" applyFont="1" applyFill="1" applyBorder="1" applyAlignment="1">
      <alignment horizontal="center" vertical="center" wrapText="1"/>
    </xf>
    <xf numFmtId="1" fontId="22" fillId="14" borderId="17" xfId="8" applyNumberFormat="1" applyFont="1" applyFill="1" applyBorder="1" applyAlignment="1">
      <alignment horizontal="center" vertical="center" wrapText="1"/>
    </xf>
    <xf numFmtId="1" fontId="22" fillId="15" borderId="16" xfId="8" applyNumberFormat="1" applyFont="1" applyFill="1" applyBorder="1" applyAlignment="1">
      <alignment horizontal="center" vertical="center" wrapText="1"/>
    </xf>
    <xf numFmtId="1" fontId="22" fillId="15" borderId="17" xfId="8" applyNumberFormat="1" applyFont="1" applyFill="1" applyBorder="1" applyAlignment="1">
      <alignment horizontal="center" vertical="center" wrapText="1"/>
    </xf>
    <xf numFmtId="1" fontId="22" fillId="15" borderId="19" xfId="8" applyNumberFormat="1" applyFont="1" applyFill="1" applyBorder="1" applyAlignment="1">
      <alignment horizontal="center" vertical="center" wrapText="1"/>
    </xf>
    <xf numFmtId="1" fontId="22" fillId="13" borderId="38" xfId="8" applyNumberFormat="1" applyFont="1" applyFill="1" applyBorder="1" applyAlignment="1">
      <alignment horizontal="center" vertical="center" wrapText="1"/>
    </xf>
    <xf numFmtId="1" fontId="22" fillId="13" borderId="37" xfId="8" applyNumberFormat="1" applyFont="1" applyFill="1" applyBorder="1" applyAlignment="1">
      <alignment horizontal="center" vertical="center"/>
    </xf>
    <xf numFmtId="0" fontId="21" fillId="0" borderId="39" xfId="8" applyFont="1" applyFill="1" applyBorder="1" applyAlignment="1">
      <alignment horizontal="center" vertical="center"/>
    </xf>
    <xf numFmtId="1" fontId="22" fillId="0" borderId="1" xfId="8" applyNumberFormat="1" applyFont="1" applyFill="1" applyBorder="1" applyAlignment="1">
      <alignment horizontal="center" vertical="center"/>
    </xf>
    <xf numFmtId="3" fontId="21" fillId="6" borderId="9" xfId="8" applyNumberFormat="1" applyFont="1" applyFill="1" applyBorder="1"/>
    <xf numFmtId="3" fontId="21" fillId="6" borderId="4" xfId="8" applyNumberFormat="1" applyFont="1" applyFill="1" applyBorder="1"/>
    <xf numFmtId="3" fontId="21" fillId="6" borderId="2" xfId="8" applyNumberFormat="1" applyFont="1" applyFill="1" applyBorder="1"/>
    <xf numFmtId="0" fontId="19" fillId="0" borderId="4" xfId="3" applyBorder="1"/>
    <xf numFmtId="3" fontId="21" fillId="9" borderId="9" xfId="8" applyNumberFormat="1" applyFont="1" applyFill="1" applyBorder="1"/>
    <xf numFmtId="3" fontId="21" fillId="9" borderId="4" xfId="8" applyNumberFormat="1" applyFont="1" applyFill="1" applyBorder="1"/>
    <xf numFmtId="166" fontId="21" fillId="9" borderId="4" xfId="8" applyNumberFormat="1" applyFont="1" applyFill="1" applyBorder="1"/>
    <xf numFmtId="9" fontId="21" fillId="9" borderId="4" xfId="8" applyNumberFormat="1" applyFont="1" applyFill="1" applyBorder="1"/>
    <xf numFmtId="9" fontId="21" fillId="9" borderId="2" xfId="8" applyNumberFormat="1" applyFont="1" applyFill="1" applyBorder="1"/>
    <xf numFmtId="3" fontId="21" fillId="9" borderId="2" xfId="8" applyNumberFormat="1" applyFont="1" applyFill="1" applyBorder="1"/>
    <xf numFmtId="3" fontId="21" fillId="0" borderId="9" xfId="8" applyNumberFormat="1" applyFont="1" applyBorder="1"/>
    <xf numFmtId="3" fontId="21" fillId="0" borderId="4" xfId="8" applyNumberFormat="1" applyFont="1" applyBorder="1"/>
    <xf numFmtId="3" fontId="21" fillId="0" borderId="4" xfId="8" applyNumberFormat="1" applyFont="1" applyFill="1" applyBorder="1"/>
    <xf numFmtId="0" fontId="21" fillId="0" borderId="4" xfId="8" applyFont="1" applyFill="1" applyBorder="1"/>
    <xf numFmtId="0" fontId="21" fillId="0" borderId="4" xfId="8" applyFont="1" applyBorder="1"/>
    <xf numFmtId="0" fontId="21" fillId="0" borderId="2" xfId="8" applyFont="1" applyBorder="1"/>
    <xf numFmtId="3" fontId="21" fillId="10" borderId="4" xfId="8" applyNumberFormat="1" applyFont="1" applyFill="1" applyBorder="1"/>
    <xf numFmtId="166" fontId="21" fillId="10" borderId="4" xfId="8" applyNumberFormat="1" applyFont="1" applyFill="1" applyBorder="1"/>
    <xf numFmtId="10" fontId="21" fillId="9" borderId="2" xfId="8" applyNumberFormat="1" applyFont="1" applyFill="1" applyBorder="1"/>
    <xf numFmtId="10" fontId="21" fillId="9" borderId="4" xfId="8" applyNumberFormat="1" applyFont="1" applyFill="1" applyBorder="1"/>
    <xf numFmtId="166" fontId="21" fillId="9" borderId="4" xfId="8" applyNumberFormat="1" applyFont="1" applyFill="1" applyBorder="1" applyAlignment="1">
      <alignment horizontal="right"/>
    </xf>
    <xf numFmtId="166" fontId="21" fillId="9" borderId="2" xfId="8" applyNumberFormat="1" applyFont="1" applyFill="1" applyBorder="1"/>
    <xf numFmtId="3" fontId="21" fillId="0" borderId="40" xfId="8" applyNumberFormat="1" applyFont="1" applyBorder="1"/>
    <xf numFmtId="3" fontId="21" fillId="0" borderId="0" xfId="8" applyNumberFormat="1" applyFont="1" applyBorder="1"/>
    <xf numFmtId="167" fontId="21" fillId="0" borderId="0" xfId="8" applyNumberFormat="1" applyFont="1" applyFill="1" applyBorder="1"/>
    <xf numFmtId="3" fontId="21" fillId="0" borderId="0" xfId="8" applyNumberFormat="1" applyFont="1" applyFill="1" applyBorder="1"/>
    <xf numFmtId="0" fontId="21" fillId="0" borderId="0" xfId="8" applyFont="1" applyFill="1" applyBorder="1"/>
    <xf numFmtId="0" fontId="21" fillId="0" borderId="0" xfId="8" applyFont="1" applyBorder="1"/>
    <xf numFmtId="0" fontId="21" fillId="0" borderId="4" xfId="8" applyFont="1" applyBorder="1" applyAlignment="1">
      <alignment horizontal="right"/>
    </xf>
    <xf numFmtId="3" fontId="27" fillId="6" borderId="9" xfId="8" applyNumberFormat="1" applyFont="1" applyFill="1" applyBorder="1"/>
    <xf numFmtId="3" fontId="27" fillId="6" borderId="4" xfId="8" applyNumberFormat="1" applyFont="1" applyFill="1" applyBorder="1"/>
    <xf numFmtId="3" fontId="27" fillId="6" borderId="2" xfId="8" applyNumberFormat="1" applyFont="1" applyFill="1" applyBorder="1"/>
    <xf numFmtId="3" fontId="27" fillId="14" borderId="4" xfId="8" applyNumberFormat="1" applyFont="1" applyFill="1" applyBorder="1"/>
    <xf numFmtId="3" fontId="27" fillId="15" borderId="4" xfId="8" applyNumberFormat="1" applyFont="1" applyFill="1" applyBorder="1"/>
    <xf numFmtId="3" fontId="27" fillId="13" borderId="4" xfId="8" applyNumberFormat="1" applyFont="1" applyFill="1" applyBorder="1"/>
    <xf numFmtId="10" fontId="21" fillId="9" borderId="14" xfId="8" applyNumberFormat="1" applyFont="1" applyFill="1" applyBorder="1"/>
    <xf numFmtId="10" fontId="21" fillId="9" borderId="15" xfId="8" applyNumberFormat="1" applyFont="1" applyFill="1" applyBorder="1"/>
    <xf numFmtId="10" fontId="21" fillId="9" borderId="13" xfId="8" applyNumberFormat="1" applyFont="1" applyFill="1" applyBorder="1"/>
    <xf numFmtId="10" fontId="21" fillId="9" borderId="20" xfId="8" applyNumberFormat="1" applyFont="1" applyFill="1" applyBorder="1"/>
    <xf numFmtId="10" fontId="21" fillId="9" borderId="33" xfId="8" applyNumberFormat="1" applyFont="1" applyFill="1" applyBorder="1"/>
    <xf numFmtId="3" fontId="21" fillId="6" borderId="41" xfId="8" applyNumberFormat="1" applyFont="1" applyFill="1" applyBorder="1"/>
    <xf numFmtId="0" fontId="19" fillId="0" borderId="3" xfId="8" applyBorder="1"/>
    <xf numFmtId="3" fontId="1" fillId="0" borderId="3" xfId="5" applyNumberFormat="1" applyFont="1" applyBorder="1"/>
    <xf numFmtId="3" fontId="1" fillId="0" borderId="3" xfId="5" applyNumberFormat="1" applyFont="1" applyBorder="1" applyAlignment="1">
      <alignment horizontal="right"/>
    </xf>
    <xf numFmtId="3" fontId="21" fillId="6" borderId="37" xfId="8" applyNumberFormat="1" applyFont="1" applyFill="1" applyBorder="1"/>
    <xf numFmtId="3" fontId="21" fillId="6" borderId="42" xfId="8" applyNumberFormat="1" applyFont="1" applyFill="1" applyBorder="1"/>
    <xf numFmtId="3" fontId="21" fillId="6" borderId="43" xfId="8" applyNumberFormat="1" applyFont="1" applyFill="1" applyBorder="1"/>
    <xf numFmtId="3" fontId="21" fillId="6" borderId="27" xfId="8" applyNumberFormat="1" applyFont="1" applyFill="1" applyBorder="1"/>
    <xf numFmtId="0" fontId="19" fillId="9" borderId="0" xfId="8" applyFill="1"/>
    <xf numFmtId="0" fontId="31" fillId="9" borderId="0" xfId="8" applyFont="1" applyFill="1" applyAlignment="1">
      <alignment horizontal="center"/>
    </xf>
    <xf numFmtId="0" fontId="19" fillId="9" borderId="0" xfId="3" applyFill="1"/>
    <xf numFmtId="0" fontId="32" fillId="9" borderId="0" xfId="3" applyFont="1" applyFill="1" applyAlignment="1">
      <alignment horizontal="right"/>
    </xf>
    <xf numFmtId="0" fontId="32" fillId="9" borderId="0" xfId="3" applyFont="1" applyFill="1"/>
    <xf numFmtId="3" fontId="33" fillId="9" borderId="0" xfId="8" applyNumberFormat="1" applyFont="1" applyFill="1" applyAlignment="1">
      <alignment horizontal="center"/>
    </xf>
    <xf numFmtId="0" fontId="32" fillId="9" borderId="0" xfId="8" applyFont="1" applyFill="1"/>
    <xf numFmtId="3" fontId="27" fillId="16" borderId="4" xfId="8" applyNumberFormat="1" applyFont="1" applyFill="1" applyBorder="1"/>
    <xf numFmtId="0" fontId="32" fillId="9" borderId="0" xfId="8" applyFont="1" applyFill="1" applyAlignment="1">
      <alignment horizontal="center" wrapText="1"/>
    </xf>
    <xf numFmtId="0" fontId="27" fillId="9" borderId="4" xfId="4" applyFont="1" applyFill="1" applyBorder="1" applyAlignment="1">
      <alignment horizontal="center" wrapText="1"/>
    </xf>
    <xf numFmtId="166" fontId="27" fillId="16" borderId="4" xfId="3" applyNumberFormat="1" applyFont="1" applyFill="1" applyBorder="1" applyAlignment="1">
      <alignment vertical="center"/>
    </xf>
    <xf numFmtId="0" fontId="32" fillId="0" borderId="0" xfId="8" applyFont="1"/>
    <xf numFmtId="0" fontId="32" fillId="0" borderId="0" xfId="8" applyFont="1" applyAlignment="1">
      <alignment horizontal="center" wrapText="1"/>
    </xf>
    <xf numFmtId="0" fontId="27" fillId="10" borderId="4" xfId="4" applyFont="1" applyFill="1" applyBorder="1" applyAlignment="1">
      <alignment horizontal="center" wrapText="1"/>
    </xf>
    <xf numFmtId="0" fontId="27" fillId="8" borderId="4" xfId="4" applyFont="1" applyFill="1" applyBorder="1" applyAlignment="1">
      <alignment horizontal="center" wrapText="1"/>
    </xf>
    <xf numFmtId="0" fontId="32" fillId="0" borderId="0" xfId="3" applyFont="1"/>
    <xf numFmtId="0" fontId="32" fillId="0" borderId="0" xfId="3" applyFont="1" applyAlignment="1">
      <alignment horizontal="right"/>
    </xf>
    <xf numFmtId="0" fontId="34" fillId="0" borderId="0" xfId="9" applyAlignment="1">
      <alignment horizontal="right"/>
    </xf>
    <xf numFmtId="0" fontId="19" fillId="0" borderId="0" xfId="8" applyAlignment="1">
      <alignment horizontal="center" wrapText="1"/>
    </xf>
    <xf numFmtId="3" fontId="27" fillId="14" borderId="2" xfId="8" applyNumberFormat="1" applyFont="1" applyFill="1" applyBorder="1"/>
    <xf numFmtId="3" fontId="27" fillId="15" borderId="9" xfId="8" applyNumberFormat="1" applyFont="1" applyFill="1" applyBorder="1"/>
    <xf numFmtId="3" fontId="27" fillId="15" borderId="44" xfId="8" applyNumberFormat="1" applyFont="1" applyFill="1" applyBorder="1"/>
    <xf numFmtId="10" fontId="3" fillId="0" borderId="0" xfId="2" applyNumberFormat="1" applyFont="1" applyAlignment="1">
      <alignment vertical="center"/>
    </xf>
    <xf numFmtId="0" fontId="3" fillId="0" borderId="0" xfId="0" applyFont="1" applyBorder="1"/>
    <xf numFmtId="3" fontId="11" fillId="17" borderId="15" xfId="1" applyNumberFormat="1" applyFont="1" applyFill="1" applyBorder="1" applyAlignment="1">
      <alignment vertical="center"/>
    </xf>
    <xf numFmtId="3" fontId="11" fillId="17" borderId="6" xfId="1" applyNumberFormat="1" applyFont="1" applyFill="1" applyBorder="1" applyAlignment="1">
      <alignment vertical="center"/>
    </xf>
    <xf numFmtId="0" fontId="38" fillId="17" borderId="18" xfId="0" applyFont="1" applyFill="1" applyBorder="1" applyAlignment="1">
      <alignment horizontal="center" vertical="center" wrapText="1"/>
    </xf>
    <xf numFmtId="3" fontId="18" fillId="17" borderId="15" xfId="1" applyNumberFormat="1" applyFont="1" applyFill="1" applyBorder="1" applyAlignment="1">
      <alignment vertical="center"/>
    </xf>
    <xf numFmtId="3" fontId="18" fillId="17" borderId="11" xfId="1" applyNumberFormat="1" applyFont="1" applyFill="1" applyBorder="1" applyAlignment="1">
      <alignment vertical="center"/>
    </xf>
    <xf numFmtId="3" fontId="18" fillId="17" borderId="12" xfId="1" applyNumberFormat="1" applyFont="1" applyFill="1" applyBorder="1" applyAlignment="1">
      <alignment vertical="center"/>
    </xf>
    <xf numFmtId="0" fontId="13" fillId="17" borderId="18" xfId="0" applyFont="1" applyFill="1" applyBorder="1" applyAlignment="1">
      <alignment horizontal="center" vertical="center" wrapText="1"/>
    </xf>
    <xf numFmtId="3" fontId="11" fillId="17" borderId="11" xfId="1" applyNumberFormat="1" applyFont="1" applyFill="1" applyBorder="1" applyAlignment="1">
      <alignment vertical="center"/>
    </xf>
    <xf numFmtId="3" fontId="11" fillId="17" borderId="12" xfId="1" applyNumberFormat="1" applyFont="1" applyFill="1" applyBorder="1" applyAlignment="1">
      <alignment vertical="center"/>
    </xf>
    <xf numFmtId="166" fontId="24" fillId="0" borderId="0" xfId="10" applyNumberFormat="1" applyFont="1" applyAlignment="1">
      <alignment vertical="center"/>
    </xf>
    <xf numFmtId="10" fontId="19" fillId="0" borderId="0" xfId="10" applyNumberFormat="1" applyFont="1"/>
    <xf numFmtId="0" fontId="19" fillId="0" borderId="25" xfId="3" applyBorder="1"/>
    <xf numFmtId="0" fontId="19" fillId="0" borderId="24" xfId="3" applyBorder="1"/>
    <xf numFmtId="1" fontId="22" fillId="18" borderId="30" xfId="8" applyNumberFormat="1" applyFont="1" applyFill="1" applyBorder="1" applyAlignment="1">
      <alignment horizontal="center" vertical="center" wrapText="1"/>
    </xf>
    <xf numFmtId="1" fontId="22" fillId="19" borderId="48" xfId="8" applyNumberFormat="1" applyFont="1" applyFill="1" applyBorder="1" applyAlignment="1">
      <alignment horizontal="center" vertical="center" wrapText="1"/>
    </xf>
    <xf numFmtId="1" fontId="22" fillId="3" borderId="30" xfId="8" applyNumberFormat="1" applyFont="1" applyFill="1" applyBorder="1" applyAlignment="1">
      <alignment horizontal="center" vertical="center" wrapText="1"/>
    </xf>
    <xf numFmtId="1" fontId="22" fillId="20" borderId="49" xfId="8" applyNumberFormat="1" applyFont="1" applyFill="1" applyBorder="1" applyAlignment="1">
      <alignment horizontal="center" vertical="center" wrapText="1"/>
    </xf>
    <xf numFmtId="1" fontId="22" fillId="0" borderId="5" xfId="8" applyNumberFormat="1" applyFont="1" applyFill="1" applyBorder="1" applyAlignment="1">
      <alignment horizontal="center" vertical="center"/>
    </xf>
    <xf numFmtId="1" fontId="22" fillId="0" borderId="40" xfId="8" applyNumberFormat="1" applyFont="1" applyFill="1" applyBorder="1" applyAlignment="1">
      <alignment horizontal="center" vertical="center"/>
    </xf>
    <xf numFmtId="1" fontId="22" fillId="0" borderId="24" xfId="8" applyNumberFormat="1" applyFont="1" applyFill="1" applyBorder="1" applyAlignment="1">
      <alignment horizontal="center" vertical="center"/>
    </xf>
    <xf numFmtId="1" fontId="22" fillId="0" borderId="39" xfId="8" applyNumberFormat="1" applyFont="1" applyFill="1" applyBorder="1" applyAlignment="1">
      <alignment horizontal="center" vertical="center"/>
    </xf>
    <xf numFmtId="0" fontId="19" fillId="0" borderId="34" xfId="3" applyBorder="1"/>
    <xf numFmtId="0" fontId="19" fillId="0" borderId="2" xfId="3" applyBorder="1"/>
    <xf numFmtId="3" fontId="21" fillId="6" borderId="50" xfId="8" applyNumberFormat="1" applyFont="1" applyFill="1" applyBorder="1"/>
    <xf numFmtId="3" fontId="21" fillId="19" borderId="51" xfId="8" applyNumberFormat="1" applyFont="1" applyFill="1" applyBorder="1"/>
    <xf numFmtId="3" fontId="21" fillId="3" borderId="9" xfId="8" applyNumberFormat="1" applyFont="1" applyFill="1" applyBorder="1"/>
    <xf numFmtId="3" fontId="21" fillId="21" borderId="44" xfId="8" applyNumberFormat="1" applyFont="1" applyFill="1" applyBorder="1" applyAlignment="1">
      <alignment horizontal="center"/>
    </xf>
    <xf numFmtId="166" fontId="21" fillId="9" borderId="50" xfId="8" applyNumberFormat="1" applyFont="1" applyFill="1" applyBorder="1"/>
    <xf numFmtId="166" fontId="21" fillId="9" borderId="51" xfId="8" applyNumberFormat="1" applyFont="1" applyFill="1" applyBorder="1"/>
    <xf numFmtId="166" fontId="21" fillId="9" borderId="9" xfId="8" applyNumberFormat="1" applyFont="1" applyFill="1" applyBorder="1"/>
    <xf numFmtId="3" fontId="21" fillId="9" borderId="50" xfId="8" applyNumberFormat="1" applyFont="1" applyFill="1" applyBorder="1"/>
    <xf numFmtId="3" fontId="21" fillId="9" borderId="51" xfId="8" applyNumberFormat="1" applyFont="1" applyFill="1" applyBorder="1"/>
    <xf numFmtId="0" fontId="21" fillId="0" borderId="50" xfId="8" applyFont="1" applyBorder="1"/>
    <xf numFmtId="0" fontId="21" fillId="0" borderId="51" xfId="8" applyFont="1" applyBorder="1"/>
    <xf numFmtId="0" fontId="21" fillId="0" borderId="9" xfId="8" applyFont="1" applyBorder="1"/>
    <xf numFmtId="0" fontId="21" fillId="0" borderId="40" xfId="8" applyFont="1" applyBorder="1"/>
    <xf numFmtId="10" fontId="21" fillId="9" borderId="50" xfId="8" applyNumberFormat="1" applyFont="1" applyFill="1" applyBorder="1"/>
    <xf numFmtId="10" fontId="21" fillId="19" borderId="51" xfId="8" applyNumberFormat="1" applyFont="1" applyFill="1" applyBorder="1"/>
    <xf numFmtId="10" fontId="21" fillId="3" borderId="9" xfId="8" applyNumberFormat="1" applyFont="1" applyFill="1" applyBorder="1"/>
    <xf numFmtId="10" fontId="21" fillId="9" borderId="51" xfId="8" applyNumberFormat="1" applyFont="1" applyFill="1" applyBorder="1"/>
    <xf numFmtId="10" fontId="21" fillId="9" borderId="9" xfId="8" applyNumberFormat="1" applyFont="1" applyFill="1" applyBorder="1"/>
    <xf numFmtId="0" fontId="19" fillId="0" borderId="51" xfId="3" applyBorder="1"/>
    <xf numFmtId="0" fontId="19" fillId="0" borderId="9" xfId="3" applyBorder="1"/>
    <xf numFmtId="0" fontId="19" fillId="0" borderId="40" xfId="3" applyBorder="1"/>
    <xf numFmtId="3" fontId="27" fillId="6" borderId="50" xfId="8" applyNumberFormat="1" applyFont="1" applyFill="1" applyBorder="1"/>
    <xf numFmtId="3" fontId="27" fillId="6" borderId="51" xfId="8" applyNumberFormat="1" applyFont="1" applyFill="1" applyBorder="1"/>
    <xf numFmtId="3" fontId="40" fillId="3" borderId="44" xfId="8" applyNumberFormat="1" applyFont="1" applyFill="1" applyBorder="1"/>
    <xf numFmtId="166" fontId="21" fillId="19" borderId="51" xfId="8" applyNumberFormat="1" applyFont="1" applyFill="1" applyBorder="1"/>
    <xf numFmtId="166" fontId="21" fillId="3" borderId="9" xfId="8" applyNumberFormat="1" applyFont="1" applyFill="1" applyBorder="1"/>
    <xf numFmtId="10" fontId="21" fillId="9" borderId="31" xfId="8" applyNumberFormat="1" applyFont="1" applyFill="1" applyBorder="1"/>
    <xf numFmtId="10" fontId="21" fillId="9" borderId="35" xfId="8" applyNumberFormat="1" applyFont="1" applyFill="1" applyBorder="1"/>
    <xf numFmtId="3" fontId="21" fillId="6" borderId="52" xfId="8" applyNumberFormat="1" applyFont="1" applyFill="1" applyBorder="1"/>
    <xf numFmtId="3" fontId="21" fillId="6" borderId="53" xfId="8" applyNumberFormat="1" applyFont="1" applyFill="1" applyBorder="1"/>
    <xf numFmtId="0" fontId="19" fillId="0" borderId="26" xfId="3" applyBorder="1"/>
    <xf numFmtId="0" fontId="19" fillId="0" borderId="32" xfId="3" applyBorder="1"/>
    <xf numFmtId="0" fontId="19" fillId="0" borderId="47" xfId="3" applyBorder="1"/>
    <xf numFmtId="0" fontId="41" fillId="0" borderId="0" xfId="8" applyFont="1"/>
    <xf numFmtId="0" fontId="7" fillId="3" borderId="2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24" fillId="8" borderId="4" xfId="4" applyFont="1" applyFill="1" applyBorder="1" applyAlignment="1">
      <alignment horizontal="center"/>
    </xf>
    <xf numFmtId="0" fontId="1" fillId="0" borderId="4" xfId="4" applyFont="1" applyBorder="1" applyAlignment="1">
      <alignment horizontal="center"/>
    </xf>
    <xf numFmtId="0" fontId="25" fillId="8" borderId="4" xfId="4" applyFont="1" applyFill="1" applyBorder="1" applyAlignment="1">
      <alignment horizontal="center"/>
    </xf>
    <xf numFmtId="0" fontId="17" fillId="0" borderId="4" xfId="4" applyFont="1" applyBorder="1" applyAlignment="1">
      <alignment horizontal="center"/>
    </xf>
    <xf numFmtId="0" fontId="27" fillId="9" borderId="4" xfId="4" applyFont="1" applyFill="1" applyBorder="1" applyAlignment="1">
      <alignment horizontal="center"/>
    </xf>
    <xf numFmtId="0" fontId="32" fillId="9" borderId="4" xfId="4" applyFont="1" applyFill="1" applyBorder="1" applyAlignment="1">
      <alignment horizontal="center"/>
    </xf>
    <xf numFmtId="0" fontId="39" fillId="0" borderId="45" xfId="3" applyFont="1" applyBorder="1" applyAlignment="1">
      <alignment horizontal="center"/>
    </xf>
    <xf numFmtId="0" fontId="39" fillId="0" borderId="46" xfId="3" applyFont="1" applyBorder="1" applyAlignment="1">
      <alignment horizontal="center"/>
    </xf>
    <xf numFmtId="0" fontId="39" fillId="0" borderId="32" xfId="3" applyFont="1" applyBorder="1" applyAlignment="1">
      <alignment horizontal="center"/>
    </xf>
    <xf numFmtId="0" fontId="39" fillId="0" borderId="47" xfId="3" applyFont="1" applyBorder="1" applyAlignment="1">
      <alignment horizontal="center"/>
    </xf>
  </cellXfs>
  <cellStyles count="11">
    <cellStyle name="40% - Accent6 2" xfId="7"/>
    <cellStyle name="Hyperlink" xfId="9" builtinId="8"/>
    <cellStyle name="Normaallaad 12" xfId="3"/>
    <cellStyle name="Normaallaad 12 2" xfId="8"/>
    <cellStyle name="Normal" xfId="0" builtinId="0"/>
    <cellStyle name="Normal 2" xfId="4"/>
    <cellStyle name="Normal 3" xfId="5"/>
    <cellStyle name="Normal_tulum" xfId="1"/>
    <cellStyle name="Percent" xfId="2" builtinId="5"/>
    <cellStyle name="Percent 2" xfId="6"/>
    <cellStyle name="Protsent 2" xfId="10"/>
  </cellStyles>
  <dxfs count="0"/>
  <tableStyles count="0" defaultTableStyle="TableStyleMedium2" defaultPivotStyle="PivotStyleLight16"/>
  <colors>
    <mruColors>
      <color rgb="FF99FF66"/>
      <color rgb="FF66FF66"/>
      <color rgb="FFCCFFFF"/>
      <color rgb="FFCCFFCC"/>
      <color rgb="FF85F0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09216871146916E-2"/>
          <c:y val="1.620280038651652E-2"/>
          <c:w val="0.91777889682394354"/>
          <c:h val="0.67911974579105805"/>
        </c:manualLayout>
      </c:layout>
      <c:lineChart>
        <c:grouping val="standard"/>
        <c:varyColors val="0"/>
        <c:ser>
          <c:idx val="1"/>
          <c:order val="2"/>
          <c:tx>
            <c:strRef>
              <c:f>'Tulumaks 2012-2022'!$P$2</c:f>
              <c:strCache>
                <c:ptCount val="1"/>
                <c:pt idx="0">
                  <c:v>2018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133146768734812E-2"/>
                  <c:y val="-2.49807126168990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5EB-4627-8367-4ADB404D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B-4627-8367-4ADB404D46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B-4627-8367-4ADB404D46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EB-4627-8367-4ADB404D465B}"/>
                </c:ext>
              </c:extLst>
            </c:dLbl>
            <c:dLbl>
              <c:idx val="5"/>
              <c:layout>
                <c:manualLayout>
                  <c:x val="-3.0369094346488028E-2"/>
                  <c:y val="1.87955508543040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5EB-4627-8367-4ADB404D465B}"/>
                </c:ext>
              </c:extLst>
            </c:dLbl>
            <c:dLbl>
              <c:idx val="7"/>
              <c:layout>
                <c:manualLayout>
                  <c:x val="-1.6189585727391018E-2"/>
                  <c:y val="-2.22050778816879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65EB-4627-8367-4ADB404D46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B-4627-8367-4ADB404D465B}"/>
                </c:ext>
              </c:extLst>
            </c:dLbl>
            <c:dLbl>
              <c:idx val="9"/>
              <c:layout>
                <c:manualLayout>
                  <c:x val="-2.9435610413438323E-2"/>
                  <c:y val="-1.387817367605501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65EB-4627-8367-4ADB404D465B}"/>
                </c:ext>
              </c:extLst>
            </c:dLbl>
            <c:dLbl>
              <c:idx val="10"/>
              <c:layout>
                <c:manualLayout>
                  <c:x val="-3.0907390934110233E-2"/>
                  <c:y val="-2.49807126168990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65EB-4627-8367-4ADB404D465B}"/>
                </c:ext>
              </c:extLst>
            </c:dLbl>
            <c:dLbl>
              <c:idx val="11"/>
              <c:layout>
                <c:manualLayout>
                  <c:x val="-6.1287037437695018E-3"/>
                  <c:y val="1.91520943429151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CF1-4245-8F4A-A784C329B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'Tulumaks 2012-2022'!$A$3:$A$14</c:f>
              <c:strCache>
                <c:ptCount val="12"/>
                <c:pt idx="0">
                  <c:v>Jaanuar</c:v>
                </c:pt>
                <c:pt idx="1">
                  <c:v>Veebruar</c:v>
                </c:pt>
                <c:pt idx="2">
                  <c:v>Märts</c:v>
                </c:pt>
                <c:pt idx="3">
                  <c:v>Aprill</c:v>
                </c:pt>
                <c:pt idx="4">
                  <c:v>Mai</c:v>
                </c:pt>
                <c:pt idx="5">
                  <c:v>Juuni</c:v>
                </c:pt>
                <c:pt idx="6">
                  <c:v>Juuli </c:v>
                </c:pt>
                <c:pt idx="7">
                  <c:v>August</c:v>
                </c:pt>
                <c:pt idx="8">
                  <c:v>September</c:v>
                </c:pt>
                <c:pt idx="9">
                  <c:v>Oktoober</c:v>
                </c:pt>
                <c:pt idx="10">
                  <c:v>November</c:v>
                </c:pt>
                <c:pt idx="11">
                  <c:v>Detsember</c:v>
                </c:pt>
              </c:strCache>
            </c:strRef>
          </c:cat>
          <c:val>
            <c:numRef>
              <c:f>'Tulumaks 2012-2022'!$P$3:$P$14</c:f>
              <c:numCache>
                <c:formatCode>#,##0</c:formatCode>
                <c:ptCount val="12"/>
                <c:pt idx="0">
                  <c:v>954157.22</c:v>
                </c:pt>
                <c:pt idx="1">
                  <c:v>967168.31</c:v>
                </c:pt>
                <c:pt idx="2">
                  <c:v>1097296.49</c:v>
                </c:pt>
                <c:pt idx="3">
                  <c:v>1045518.63</c:v>
                </c:pt>
                <c:pt idx="4">
                  <c:v>1056240.22</c:v>
                </c:pt>
                <c:pt idx="5">
                  <c:v>1124874.08</c:v>
                </c:pt>
                <c:pt idx="6">
                  <c:v>1098773.19</c:v>
                </c:pt>
                <c:pt idx="7">
                  <c:v>1000280.14</c:v>
                </c:pt>
                <c:pt idx="8">
                  <c:v>1043129.63</c:v>
                </c:pt>
                <c:pt idx="9">
                  <c:v>1056120.23</c:v>
                </c:pt>
                <c:pt idx="10">
                  <c:v>1090852.83</c:v>
                </c:pt>
                <c:pt idx="11">
                  <c:v>1296587.77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4A-4DA7-8847-3FA588121FEC}"/>
            </c:ext>
          </c:extLst>
        </c:ser>
        <c:ser>
          <c:idx val="3"/>
          <c:order val="3"/>
          <c:tx>
            <c:strRef>
              <c:f>'Tulumaks 2012-2022'!$Q$2</c:f>
              <c:strCache>
                <c:ptCount val="1"/>
                <c:pt idx="0">
                  <c:v>2019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189585727391046E-2"/>
                  <c:y val="-2.22050778816879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5EB-4627-8367-4ADB404D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B-4627-8367-4ADB404D465B}"/>
                </c:ext>
              </c:extLst>
            </c:dLbl>
            <c:dLbl>
              <c:idx val="2"/>
              <c:layout>
                <c:manualLayout>
                  <c:x val="-1.7944993832539773E-2"/>
                  <c:y val="-1.6495360625965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5EB-4627-8367-4ADB404D46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B-4627-8367-4ADB404D465B}"/>
                </c:ext>
              </c:extLst>
            </c:dLbl>
            <c:dLbl>
              <c:idx val="4"/>
              <c:layout>
                <c:manualLayout>
                  <c:x val="-2.3548488330750572E-2"/>
                  <c:y val="-2.49807126168990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5EB-4627-8367-4ADB404D46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B-4627-8367-4ADB404D46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B-4627-8367-4ADB404D465B}"/>
                </c:ext>
              </c:extLst>
            </c:dLbl>
            <c:dLbl>
              <c:idx val="8"/>
              <c:layout>
                <c:manualLayout>
                  <c:x val="-2.0604927289406751E-2"/>
                  <c:y val="-2.22050778816880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5EB-4627-8367-4ADB404D46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EB-4627-8367-4ADB404D465B}"/>
                </c:ext>
              </c:extLst>
            </c:dLbl>
            <c:dLbl>
              <c:idx val="10"/>
              <c:layout>
                <c:manualLayout>
                  <c:x val="-3.5322732496125858E-2"/>
                  <c:y val="-2.49807126168990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65EB-4627-8367-4ADB404D465B}"/>
                </c:ext>
              </c:extLst>
            </c:dLbl>
            <c:dLbl>
              <c:idx val="11"/>
              <c:layout>
                <c:manualLayout>
                  <c:x val="-5.1072531198077939E-3"/>
                  <c:y val="-5.472026955118632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CF1-4245-8F4A-A784C329B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'Tulumaks 2012-2022'!$A$3:$A$14</c:f>
              <c:strCache>
                <c:ptCount val="12"/>
                <c:pt idx="0">
                  <c:v>Jaanuar</c:v>
                </c:pt>
                <c:pt idx="1">
                  <c:v>Veebruar</c:v>
                </c:pt>
                <c:pt idx="2">
                  <c:v>Märts</c:v>
                </c:pt>
                <c:pt idx="3">
                  <c:v>Aprill</c:v>
                </c:pt>
                <c:pt idx="4">
                  <c:v>Mai</c:v>
                </c:pt>
                <c:pt idx="5">
                  <c:v>Juuni</c:v>
                </c:pt>
                <c:pt idx="6">
                  <c:v>Juuli </c:v>
                </c:pt>
                <c:pt idx="7">
                  <c:v>August</c:v>
                </c:pt>
                <c:pt idx="8">
                  <c:v>September</c:v>
                </c:pt>
                <c:pt idx="9">
                  <c:v>Oktoober</c:v>
                </c:pt>
                <c:pt idx="10">
                  <c:v>November</c:v>
                </c:pt>
                <c:pt idx="11">
                  <c:v>Detsember</c:v>
                </c:pt>
              </c:strCache>
            </c:strRef>
          </c:cat>
          <c:val>
            <c:numRef>
              <c:f>'Tulumaks 2012-2022'!$Q$3:$Q$14</c:f>
              <c:numCache>
                <c:formatCode>#,##0</c:formatCode>
                <c:ptCount val="12"/>
                <c:pt idx="0">
                  <c:v>1039981.08</c:v>
                </c:pt>
                <c:pt idx="1">
                  <c:v>1078061.6200000001</c:v>
                </c:pt>
                <c:pt idx="2">
                  <c:v>1278049.33</c:v>
                </c:pt>
                <c:pt idx="3">
                  <c:v>1135936.53</c:v>
                </c:pt>
                <c:pt idx="4">
                  <c:v>1149036.43</c:v>
                </c:pt>
                <c:pt idx="5">
                  <c:v>1210557.6100000001</c:v>
                </c:pt>
                <c:pt idx="6">
                  <c:v>1180577.03</c:v>
                </c:pt>
                <c:pt idx="7">
                  <c:v>1112765.3999999999</c:v>
                </c:pt>
                <c:pt idx="8">
                  <c:v>1111143.4099999999</c:v>
                </c:pt>
                <c:pt idx="9">
                  <c:v>1157832.3700000001</c:v>
                </c:pt>
                <c:pt idx="10">
                  <c:v>1178985.6599999999</c:v>
                </c:pt>
                <c:pt idx="11">
                  <c:v>1356910.23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B-4627-8367-4ADB404D465B}"/>
            </c:ext>
          </c:extLst>
        </c:ser>
        <c:ser>
          <c:idx val="4"/>
          <c:order val="4"/>
          <c:tx>
            <c:strRef>
              <c:f>'Tulumaks 2012-2022'!$R$2</c:f>
              <c:strCache>
                <c:ptCount val="1"/>
                <c:pt idx="0">
                  <c:v>2020</c:v>
                </c:pt>
              </c:strCache>
            </c:strRef>
          </c:tx>
          <c:spPr>
            <a:ln w="22225" cap="rnd" cmpd="sng" algn="ctr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1-4245-8F4A-A784C329B0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1-4245-8F4A-A784C329B0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1-4245-8F4A-A784C329B0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1-4245-8F4A-A784C329B0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1-4245-8F4A-A784C329B059}"/>
                </c:ext>
              </c:extLst>
            </c:dLbl>
            <c:dLbl>
              <c:idx val="5"/>
              <c:layout>
                <c:manualLayout>
                  <c:x val="-6.9262582687453743E-3"/>
                  <c:y val="-1.326721785525190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CF1-4245-8F4A-A784C329B0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1-4245-8F4A-A784C329B0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1-4245-8F4A-A784C329B0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1-4245-8F4A-A784C329B0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1-4245-8F4A-A784C329B059}"/>
                </c:ext>
              </c:extLst>
            </c:dLbl>
            <c:dLbl>
              <c:idx val="10"/>
              <c:layout>
                <c:manualLayout>
                  <c:x val="-0.10725231551596366"/>
                  <c:y val="-3.5568175208270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CF1-4245-8F4A-A784C329B059}"/>
                </c:ext>
              </c:extLst>
            </c:dLbl>
            <c:dLbl>
              <c:idx val="11"/>
              <c:layout>
                <c:manualLayout>
                  <c:x val="0"/>
                  <c:y val="-1.3680067387796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CF1-4245-8F4A-A784C329B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'Tulumaks 2012-2022'!$A$3:$A$14</c:f>
              <c:strCache>
                <c:ptCount val="12"/>
                <c:pt idx="0">
                  <c:v>Jaanuar</c:v>
                </c:pt>
                <c:pt idx="1">
                  <c:v>Veebruar</c:v>
                </c:pt>
                <c:pt idx="2">
                  <c:v>Märts</c:v>
                </c:pt>
                <c:pt idx="3">
                  <c:v>Aprill</c:v>
                </c:pt>
                <c:pt idx="4">
                  <c:v>Mai</c:v>
                </c:pt>
                <c:pt idx="5">
                  <c:v>Juuni</c:v>
                </c:pt>
                <c:pt idx="6">
                  <c:v>Juuli </c:v>
                </c:pt>
                <c:pt idx="7">
                  <c:v>August</c:v>
                </c:pt>
                <c:pt idx="8">
                  <c:v>September</c:v>
                </c:pt>
                <c:pt idx="9">
                  <c:v>Oktoober</c:v>
                </c:pt>
                <c:pt idx="10">
                  <c:v>November</c:v>
                </c:pt>
                <c:pt idx="11">
                  <c:v>Detsember</c:v>
                </c:pt>
              </c:strCache>
            </c:strRef>
          </c:cat>
          <c:val>
            <c:numRef>
              <c:f>'Tulumaks 2012-2022'!$R$3:$R$14</c:f>
              <c:numCache>
                <c:formatCode>#,##0</c:formatCode>
                <c:ptCount val="12"/>
                <c:pt idx="0">
                  <c:v>1107130.46</c:v>
                </c:pt>
                <c:pt idx="1">
                  <c:v>1110954.48</c:v>
                </c:pt>
                <c:pt idx="2">
                  <c:v>1236872.02</c:v>
                </c:pt>
                <c:pt idx="3">
                  <c:v>1195648.6299999999</c:v>
                </c:pt>
                <c:pt idx="4">
                  <c:v>1127559.0900000001</c:v>
                </c:pt>
                <c:pt idx="5">
                  <c:v>1192271.54</c:v>
                </c:pt>
                <c:pt idx="6">
                  <c:v>1204133.3799999999</c:v>
                </c:pt>
                <c:pt idx="7">
                  <c:v>1171699.5</c:v>
                </c:pt>
                <c:pt idx="8">
                  <c:v>1125294.8700000001</c:v>
                </c:pt>
                <c:pt idx="9">
                  <c:v>1162990.25</c:v>
                </c:pt>
                <c:pt idx="10">
                  <c:v>1169782.9099999999</c:v>
                </c:pt>
                <c:pt idx="11">
                  <c:v>1372607.33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1-4245-8F4A-A784C329B059}"/>
            </c:ext>
          </c:extLst>
        </c:ser>
        <c:ser>
          <c:idx val="0"/>
          <c:order val="5"/>
          <c:tx>
            <c:strRef>
              <c:f>'Tulumaks 2012-2022'!$V$2</c:f>
              <c:strCache>
                <c:ptCount val="1"/>
                <c:pt idx="0">
                  <c:v>2022 eelarve koos I lisaeelarvega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403429082130903E-2"/>
                  <c:y val="-4.112228256771638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64A-4DA7-8847-3FA588121F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4A-4DA7-8847-3FA588121FEC}"/>
                </c:ext>
              </c:extLst>
            </c:dLbl>
            <c:dLbl>
              <c:idx val="2"/>
              <c:layout>
                <c:manualLayout>
                  <c:x val="-4.482023649542867E-2"/>
                  <c:y val="-9.4808688829490922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64A-4DA7-8847-3FA588121F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4A-4DA7-8847-3FA588121F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4A-4DA7-8847-3FA588121FEC}"/>
                </c:ext>
              </c:extLst>
            </c:dLbl>
            <c:dLbl>
              <c:idx val="5"/>
              <c:layout>
                <c:manualLayout>
                  <c:x val="-4.4432474477935115E-2"/>
                  <c:y val="-1.2871077230397378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764A-4DA7-8847-3FA588121F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4A-4DA7-8847-3FA588121F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4A-4DA7-8847-3FA588121F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4A-4DA7-8847-3FA588121FEC}"/>
                </c:ext>
              </c:extLst>
            </c:dLbl>
            <c:dLbl>
              <c:idx val="9"/>
              <c:layout>
                <c:manualLayout>
                  <c:x val="-4.4256903809524357E-2"/>
                  <c:y val="-3.1899036832891518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BBD-4E43-A2D7-3939AD3FA6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4A-4DA7-8847-3FA588121FEC}"/>
                </c:ext>
              </c:extLst>
            </c:dLbl>
            <c:dLbl>
              <c:idx val="11"/>
              <c:layout>
                <c:manualLayout>
                  <c:x val="-1.490661079093706E-2"/>
                  <c:y val="-1.62028003865165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764A-4DA7-8847-3FA588121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'Tulumaks 2012-2022'!$A$3:$A$14</c:f>
              <c:strCache>
                <c:ptCount val="12"/>
                <c:pt idx="0">
                  <c:v>Jaanuar</c:v>
                </c:pt>
                <c:pt idx="1">
                  <c:v>Veebruar</c:v>
                </c:pt>
                <c:pt idx="2">
                  <c:v>Märts</c:v>
                </c:pt>
                <c:pt idx="3">
                  <c:v>Aprill</c:v>
                </c:pt>
                <c:pt idx="4">
                  <c:v>Mai</c:v>
                </c:pt>
                <c:pt idx="5">
                  <c:v>Juuni</c:v>
                </c:pt>
                <c:pt idx="6">
                  <c:v>Juuli </c:v>
                </c:pt>
                <c:pt idx="7">
                  <c:v>August</c:v>
                </c:pt>
                <c:pt idx="8">
                  <c:v>September</c:v>
                </c:pt>
                <c:pt idx="9">
                  <c:v>Oktoober</c:v>
                </c:pt>
                <c:pt idx="10">
                  <c:v>November</c:v>
                </c:pt>
                <c:pt idx="11">
                  <c:v>Detsember</c:v>
                </c:pt>
              </c:strCache>
            </c:strRef>
          </c:cat>
          <c:val>
            <c:numRef>
              <c:f>'Tulumaks 2012-2022'!$V$3:$V$14</c:f>
              <c:numCache>
                <c:formatCode>#,##0</c:formatCode>
                <c:ptCount val="12"/>
                <c:pt idx="0">
                  <c:v>1192035.1730401625</c:v>
                </c:pt>
                <c:pt idx="1">
                  <c:v>1221984.4017259686</c:v>
                </c:pt>
                <c:pt idx="2">
                  <c:v>1417877.5964764932</c:v>
                </c:pt>
                <c:pt idx="3">
                  <c:v>1304097.2195798901</c:v>
                </c:pt>
                <c:pt idx="4">
                  <c:v>1318301.9692585506</c:v>
                </c:pt>
                <c:pt idx="5">
                  <c:v>1376433.6819575799</c:v>
                </c:pt>
                <c:pt idx="6">
                  <c:v>1337947.8214997628</c:v>
                </c:pt>
                <c:pt idx="7">
                  <c:v>1227556.8384375011</c:v>
                </c:pt>
                <c:pt idx="8">
                  <c:v>1253398.0274212181</c:v>
                </c:pt>
                <c:pt idx="9">
                  <c:v>1283267.1438026323</c:v>
                </c:pt>
                <c:pt idx="10">
                  <c:v>1312087.6389827479</c:v>
                </c:pt>
                <c:pt idx="11">
                  <c:v>1539896.4878174907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64A-4DA7-8847-3FA588121FEC}"/>
            </c:ext>
          </c:extLst>
        </c:ser>
        <c:ser>
          <c:idx val="6"/>
          <c:order val="6"/>
          <c:tx>
            <c:strRef>
              <c:f>'Tulumaks 2012-2022'!$W$2</c:f>
              <c:strCache>
                <c:ptCount val="1"/>
                <c:pt idx="0">
                  <c:v>2022 tegelik tulu</c:v>
                </c:pt>
              </c:strCache>
            </c:strRef>
          </c:tx>
          <c:spPr>
            <a:ln w="34925" cap="rnd" cmpd="sng" algn="ctr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4A-4DA7-8847-3FA588121FEC}"/>
                </c:ext>
              </c:extLst>
            </c:dLbl>
            <c:dLbl>
              <c:idx val="1"/>
              <c:layout>
                <c:manualLayout>
                  <c:x val="-7.3656643635502034E-2"/>
                  <c:y val="-7.876185695604497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764A-4DA7-8847-3FA588121FEC}"/>
                </c:ext>
              </c:extLst>
            </c:dLbl>
            <c:dLbl>
              <c:idx val="2"/>
              <c:layout>
                <c:manualLayout>
                  <c:x val="-2.5584040533734493E-2"/>
                  <c:y val="6.21462840843726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764A-4DA7-8847-3FA588121F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4A-4DA7-8847-3FA588121F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D-4E43-A2D7-3939AD3FA622}"/>
                </c:ext>
              </c:extLst>
            </c:dLbl>
            <c:dLbl>
              <c:idx val="5"/>
              <c:layout>
                <c:manualLayout>
                  <c:x val="-3.2026947878116795E-2"/>
                  <c:y val="-5.25149676210646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764A-4DA7-8847-3FA588121FEC}"/>
                </c:ext>
              </c:extLst>
            </c:dLbl>
            <c:dLbl>
              <c:idx val="6"/>
              <c:layout>
                <c:manualLayout>
                  <c:x val="-1.1618163698684041E-16"/>
                  <c:y val="-2.49807126168989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D-4E43-A2D7-3939AD3FA6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D-4E43-A2D7-3939AD3FA622}"/>
                </c:ext>
              </c:extLst>
            </c:dLbl>
            <c:dLbl>
              <c:idx val="8"/>
              <c:layout>
                <c:manualLayout>
                  <c:x val="-8.5552920993536619E-2"/>
                  <c:y val="-5.55126947042200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D-4E43-A2D7-3939AD3FA622}"/>
                </c:ext>
              </c:extLst>
            </c:dLbl>
            <c:dLbl>
              <c:idx val="9"/>
              <c:layout>
                <c:manualLayout>
                  <c:x val="-5.4952740240882481E-2"/>
                  <c:y val="-5.30182297129605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4A-4DA7-8847-3FA588121FEC}"/>
                </c:ext>
              </c:extLst>
            </c:dLbl>
            <c:spPr>
              <a:noFill/>
              <a:ln>
                <a:solidFill>
                  <a:sysClr val="window" lastClr="FFFFFF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t-EE"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'Tulumaks 2012-2022'!$A$3:$A$14</c:f>
              <c:strCache>
                <c:ptCount val="12"/>
                <c:pt idx="0">
                  <c:v>Jaanuar</c:v>
                </c:pt>
                <c:pt idx="1">
                  <c:v>Veebruar</c:v>
                </c:pt>
                <c:pt idx="2">
                  <c:v>Märts</c:v>
                </c:pt>
                <c:pt idx="3">
                  <c:v>Aprill</c:v>
                </c:pt>
                <c:pt idx="4">
                  <c:v>Mai</c:v>
                </c:pt>
                <c:pt idx="5">
                  <c:v>Juuni</c:v>
                </c:pt>
                <c:pt idx="6">
                  <c:v>Juuli </c:v>
                </c:pt>
                <c:pt idx="7">
                  <c:v>August</c:v>
                </c:pt>
                <c:pt idx="8">
                  <c:v>September</c:v>
                </c:pt>
                <c:pt idx="9">
                  <c:v>Oktoober</c:v>
                </c:pt>
                <c:pt idx="10">
                  <c:v>November</c:v>
                </c:pt>
                <c:pt idx="11">
                  <c:v>Detsember</c:v>
                </c:pt>
              </c:strCache>
            </c:strRef>
          </c:cat>
          <c:val>
            <c:numRef>
              <c:f>'Tulumaks 2012-2022'!$W$3:$W$14</c:f>
              <c:numCache>
                <c:formatCode>#,##0</c:formatCode>
                <c:ptCount val="12"/>
                <c:pt idx="0">
                  <c:v>1198623.54</c:v>
                </c:pt>
                <c:pt idx="1">
                  <c:v>1209195.67</c:v>
                </c:pt>
                <c:pt idx="2">
                  <c:v>1393761.91</c:v>
                </c:pt>
                <c:pt idx="3">
                  <c:v>1388280.11</c:v>
                </c:pt>
                <c:pt idx="4">
                  <c:v>1305691.8799999999</c:v>
                </c:pt>
                <c:pt idx="5">
                  <c:v>1411071.19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64A-4DA7-8847-3FA588121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669748880"/>
        <c:axId val="669749440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'Tulumaks 2012-2022'!$N$2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49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1.4730437023786291E-2"/>
                        <c:y val="-2.1159078838954175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764A-4DA7-8847-3FA588121FE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764A-4DA7-8847-3FA588121FE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64A-4DA7-8847-3FA588121FE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64A-4DA7-8847-3FA588121FEC}"/>
                      </c:ext>
                    </c:extLst>
                  </c:dLbl>
                  <c:dLbl>
                    <c:idx val="4"/>
                    <c:layout>
                      <c:manualLayout>
                        <c:x val="-2.4570648337008841E-2"/>
                        <c:y val="4.7118314936633592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64A-4DA7-8847-3FA588121FEC}"/>
                      </c:ext>
                    </c:extLst>
                  </c:dLbl>
                  <c:dLbl>
                    <c:idx val="5"/>
                    <c:layout>
                      <c:manualLayout>
                        <c:x val="-3.0287439933040661E-2"/>
                        <c:y val="5.8453074478760171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t-EE"/>
                      </a:p>
                    </c:txPr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5705764488626172E-2"/>
                            <c:h val="4.621938529007320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5-764A-4DA7-8847-3FA588121FE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64A-4DA7-8847-3FA588121FE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64A-4DA7-8847-3FA588121FEC}"/>
                      </c:ext>
                    </c:extLst>
                  </c:dLbl>
                  <c:dLbl>
                    <c:idx val="8"/>
                    <c:layout>
                      <c:manualLayout>
                        <c:x val="-8.1064046763761732E-3"/>
                        <c:y val="3.9763583825770249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64A-4DA7-8847-3FA588121FE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64A-4DA7-8847-3FA588121FE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64A-4DA7-8847-3FA588121FEC}"/>
                      </c:ext>
                    </c:extLst>
                  </c:dLbl>
                  <c:dLbl>
                    <c:idx val="11"/>
                    <c:layout>
                      <c:manualLayout>
                        <c:x val="-7.4986540176226772E-3"/>
                        <c:y val="-7.4970000797105786E-3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t-EE"/>
                      </a:p>
                    </c:txPr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3.0053329374072752E-2"/>
                            <c:h val="3.3245364396062717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B-764A-4DA7-8847-3FA588121FE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t-EE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'Tulumaks 2012-2022'!$A$3:$A$14</c15:sqref>
                        </c15:formulaRef>
                      </c:ext>
                    </c:extLst>
                    <c:strCache>
                      <c:ptCount val="12"/>
                      <c:pt idx="0">
                        <c:v>Jaanuar</c:v>
                      </c:pt>
                      <c:pt idx="1">
                        <c:v>Veebruar</c:v>
                      </c:pt>
                      <c:pt idx="2">
                        <c:v>Märts</c:v>
                      </c:pt>
                      <c:pt idx="3">
                        <c:v>Aprill</c:v>
                      </c:pt>
                      <c:pt idx="4">
                        <c:v>Mai</c:v>
                      </c:pt>
                      <c:pt idx="5">
                        <c:v>Juuni</c:v>
                      </c:pt>
                      <c:pt idx="6">
                        <c:v>Juuli 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Oktoober</c:v>
                      </c:pt>
                      <c:pt idx="10">
                        <c:v>November</c:v>
                      </c:pt>
                      <c:pt idx="11">
                        <c:v>Detsember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'Tulumaks 2012-2022'!$N$3:$N$14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C-764A-4DA7-8847-3FA588121FEC}"/>
                  </c:ext>
                </c:extLst>
              </c15:ser>
            </c15:filteredLineSeries>
            <c15:filteredLine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'Tulumaks 2012-2022'!$O$2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 w="34925" cap="rnd" cmpd="sng" algn="ctr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1.7677127047339442E-2"/>
                        <c:y val="-1.5433403343437809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764A-4DA7-8847-3FA588121FEC}"/>
                      </c:ext>
                    </c:extLst>
                  </c:dLbl>
                  <c:dLbl>
                    <c:idx val="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E-764A-4DA7-8847-3FA588121FE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F-764A-4DA7-8847-3FA588121FEC}"/>
                      </c:ext>
                    </c:extLst>
                  </c:dLbl>
                  <c:dLbl>
                    <c:idx val="4"/>
                    <c:layout>
                      <c:manualLayout>
                        <c:x val="-3.244838134954374E-2"/>
                        <c:y val="-1.769985505630505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0-764A-4DA7-8847-3FA588121FE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764A-4DA7-8847-3FA588121FE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2-764A-4DA7-8847-3FA588121FEC}"/>
                      </c:ext>
                    </c:extLst>
                  </c:dLbl>
                  <c:dLbl>
                    <c:idx val="7"/>
                    <c:layout>
                      <c:manualLayout>
                        <c:x val="-1.4749264249792719E-2"/>
                        <c:y val="-2.0649830899022666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3-764A-4DA7-8847-3FA588121FE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4-764A-4DA7-8847-3FA588121FE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5-764A-4DA7-8847-3FA588121FEC}"/>
                      </c:ext>
                    </c:extLst>
                  </c:dLbl>
                  <c:dLbl>
                    <c:idx val="10"/>
                    <c:layout>
                      <c:manualLayout>
                        <c:x val="-3.0973454924564481E-2"/>
                        <c:y val="-2.0649830899022559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764A-4DA7-8847-3FA588121FEC}"/>
                      </c:ext>
                    </c:extLst>
                  </c:dLbl>
                  <c:dLbl>
                    <c:idx val="11"/>
                    <c:layout>
                      <c:manualLayout>
                        <c:x val="-4.447733819297181E-3"/>
                        <c:y val="-2.2744027627273098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7-764A-4DA7-8847-3FA588121FE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t-EE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'Tulumaks 2012-2022'!$A$3:$A$14</c15:sqref>
                        </c15:formulaRef>
                      </c:ext>
                    </c:extLst>
                    <c:strCache>
                      <c:ptCount val="12"/>
                      <c:pt idx="0">
                        <c:v>Jaanuar</c:v>
                      </c:pt>
                      <c:pt idx="1">
                        <c:v>Veebruar</c:v>
                      </c:pt>
                      <c:pt idx="2">
                        <c:v>Märts</c:v>
                      </c:pt>
                      <c:pt idx="3">
                        <c:v>Aprill</c:v>
                      </c:pt>
                      <c:pt idx="4">
                        <c:v>Mai</c:v>
                      </c:pt>
                      <c:pt idx="5">
                        <c:v>Juuni</c:v>
                      </c:pt>
                      <c:pt idx="6">
                        <c:v>Juuli 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Oktoober</c:v>
                      </c:pt>
                      <c:pt idx="10">
                        <c:v>November</c:v>
                      </c:pt>
                      <c:pt idx="11">
                        <c:v>Detsember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'Tulumaks 2012-2022'!$O$3:$O$14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873780.75</c:v>
                      </c:pt>
                      <c:pt idx="1">
                        <c:v>872992.5</c:v>
                      </c:pt>
                      <c:pt idx="2">
                        <c:v>1011736.53</c:v>
                      </c:pt>
                      <c:pt idx="3">
                        <c:v>935413.75</c:v>
                      </c:pt>
                      <c:pt idx="4">
                        <c:v>929176.2</c:v>
                      </c:pt>
                      <c:pt idx="5">
                        <c:v>1097564.53</c:v>
                      </c:pt>
                      <c:pt idx="6">
                        <c:v>978863.01</c:v>
                      </c:pt>
                      <c:pt idx="7">
                        <c:v>847829.49</c:v>
                      </c:pt>
                      <c:pt idx="8">
                        <c:v>889525.44</c:v>
                      </c:pt>
                      <c:pt idx="9">
                        <c:v>986956.84</c:v>
                      </c:pt>
                      <c:pt idx="10">
                        <c:v>993781.2</c:v>
                      </c:pt>
                      <c:pt idx="11">
                        <c:v>1125297.43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764A-4DA7-8847-3FA588121FEC}"/>
                  </c:ext>
                </c:extLst>
              </c15:ser>
            </c15:filteredLineSeries>
          </c:ext>
        </c:extLst>
      </c:lineChart>
      <c:catAx>
        <c:axId val="66974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669749440"/>
        <c:crosses val="autoZero"/>
        <c:auto val="1"/>
        <c:lblAlgn val="ctr"/>
        <c:lblOffset val="100"/>
        <c:noMultiLvlLbl val="0"/>
      </c:catAx>
      <c:valAx>
        <c:axId val="669749440"/>
        <c:scaling>
          <c:orientation val="minMax"/>
          <c:max val="1600000"/>
          <c:min val="9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669748880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08307658934915"/>
          <c:y val="1.8788865724597089E-2"/>
          <c:w val="0.82251213212268526"/>
          <c:h val="7.9478241750844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t-EE"/>
              <a:t>Viljandi linn tulumaks 2012-2022</a:t>
            </a:r>
          </a:p>
        </c:rich>
      </c:tx>
      <c:layout>
        <c:manualLayout>
          <c:xMode val="edge"/>
          <c:yMode val="edge"/>
          <c:x val="9.6737953389520667E-2"/>
          <c:y val="3.0173818891280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>
        <c:manualLayout>
          <c:layoutTarget val="inner"/>
          <c:xMode val="edge"/>
          <c:yMode val="edge"/>
          <c:x val="2.1185939775429017E-2"/>
          <c:y val="5.910098215259528E-2"/>
          <c:w val="0.95762812109682804"/>
          <c:h val="0.7731310616181236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5"/>
                </a:gs>
                <a:gs pos="100000">
                  <a:schemeClr val="accent5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'Tulumaks 2012-2022'!$I$2:$V$2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algne eelarve</c:v>
                </c:pt>
                <c:pt idx="6">
                  <c:v>2022 lisaeelarve</c:v>
                </c:pt>
                <c:pt idx="7">
                  <c:v>2022 eelarve koos I lisaeelarvega</c:v>
                </c:pt>
              </c:strCache>
            </c:strRef>
          </c:cat>
          <c:val>
            <c:numRef>
              <c:f>'Tulumaks 2012-2022'!$I$15:$V$15</c:f>
              <c:numCache>
                <c:formatCode>#,##0</c:formatCode>
                <c:ptCount val="8"/>
                <c:pt idx="0">
                  <c:v>11542917.67</c:v>
                </c:pt>
                <c:pt idx="1">
                  <c:v>12830998.74</c:v>
                </c:pt>
                <c:pt idx="2">
                  <c:v>13989836.700000003</c:v>
                </c:pt>
                <c:pt idx="3">
                  <c:v>14176944.459999999</c:v>
                </c:pt>
                <c:pt idx="4">
                  <c:v>14973139.210000001</c:v>
                </c:pt>
                <c:pt idx="5">
                  <c:v>16032561.999999998</c:v>
                </c:pt>
                <c:pt idx="6">
                  <c:v>-247678</c:v>
                </c:pt>
                <c:pt idx="7">
                  <c:v>15784883.999999998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2-4395-89F4-E8DB426B2C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71400480"/>
        <c:axId val="671401040"/>
      </c:barChart>
      <c:catAx>
        <c:axId val="6714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t-EE"/>
          </a:p>
        </c:txPr>
        <c:crossAx val="671401040"/>
        <c:crosses val="autoZero"/>
        <c:auto val="1"/>
        <c:lblAlgn val="ctr"/>
        <c:lblOffset val="100"/>
        <c:noMultiLvlLbl val="0"/>
      </c:catAx>
      <c:valAx>
        <c:axId val="671401040"/>
        <c:scaling>
          <c:orientation val="minMax"/>
          <c:max val="15500000"/>
        </c:scaling>
        <c:delete val="1"/>
        <c:axPos val="l"/>
        <c:numFmt formatCode="#,##0" sourceLinked="1"/>
        <c:majorTickMark val="none"/>
        <c:minorTickMark val="none"/>
        <c:tickLblPos val="nextTo"/>
        <c:crossAx val="671400480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t-EE"/>
              <a:t>Tulumaksu laekumine, maksumaksjate ja maksustatava tulu keskmine 2008-2022</a:t>
            </a:r>
          </a:p>
        </c:rich>
      </c:tx>
      <c:layout>
        <c:manualLayout>
          <c:xMode val="edge"/>
          <c:yMode val="edge"/>
          <c:x val="0.15413615425159621"/>
          <c:y val="1.213086159126705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t-EE"/>
        </a:p>
      </c:txPr>
    </c:title>
    <c:autoTitleDeleted val="0"/>
    <c:plotArea>
      <c:layout>
        <c:manualLayout>
          <c:layoutTarget val="inner"/>
          <c:xMode val="edge"/>
          <c:yMode val="edge"/>
          <c:x val="0.11366672047350014"/>
          <c:y val="0.12058360115368769"/>
          <c:w val="0.80214470145974892"/>
          <c:h val="0.75913287717046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'Tulumaks 2012-2022'!$AI$29</c:f>
              <c:strCache>
                <c:ptCount val="1"/>
                <c:pt idx="0">
                  <c:v>Tulumaks eurodes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0"/>
                  <c:y val="0.18834791222852543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456284002717019"/>
                      <c:h val="8.299652220689966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FBC-42BF-8A43-340C463B8210}"/>
                </c:ext>
              </c:extLst>
            </c:dLbl>
            <c:dLbl>
              <c:idx val="11"/>
              <c:layout>
                <c:manualLayout>
                  <c:x val="-1.002675035779094E-16"/>
                  <c:y val="0.137760153669674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C-42BF-8A43-340C463B8210}"/>
                </c:ext>
              </c:extLst>
            </c:dLbl>
            <c:dLbl>
              <c:idx val="12"/>
              <c:layout>
                <c:manualLayout>
                  <c:x val="0"/>
                  <c:y val="0.1338129377832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C-42BF-8A43-340C463B8210}"/>
                </c:ext>
              </c:extLst>
            </c:dLbl>
            <c:dLbl>
              <c:idx val="13"/>
              <c:layout>
                <c:manualLayout>
                  <c:x val="1.3666935700833004E-3"/>
                  <c:y val="0.13825232797692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E-4D7C-8232-09B1B7FBE7DD}"/>
                </c:ext>
              </c:extLst>
            </c:dLbl>
            <c:dLbl>
              <c:idx val="14"/>
              <c:layout>
                <c:manualLayout>
                  <c:x val="0"/>
                  <c:y val="0.11512154923774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21818670971213E-2"/>
                      <c:h val="3.55830243098475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8B-4A44-8711-4F25AA33F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t-E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'Tulumaks 2012-2022'!$AJ$28:$AX$28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'Tulumaks 2012-2022'!$AJ$29:$AX$29</c:f>
              <c:numCache>
                <c:formatCode>#,##0</c:formatCode>
                <c:ptCount val="15"/>
                <c:pt idx="0">
                  <c:v>9817542.9166719932</c:v>
                </c:pt>
                <c:pt idx="1">
                  <c:v>8291618.634080248</c:v>
                </c:pt>
                <c:pt idx="2">
                  <c:v>7465207.2700247848</c:v>
                </c:pt>
                <c:pt idx="3">
                  <c:v>7798115</c:v>
                </c:pt>
                <c:pt idx="4">
                  <c:v>8275602.5012786034</c:v>
                </c:pt>
                <c:pt idx="5">
                  <c:v>8963676.8492007814</c:v>
                </c:pt>
                <c:pt idx="6">
                  <c:v>9533974.9765317347</c:v>
                </c:pt>
                <c:pt idx="7">
                  <c:v>10267360.15</c:v>
                </c:pt>
                <c:pt idx="8">
                  <c:v>10856002</c:v>
                </c:pt>
                <c:pt idx="9">
                  <c:v>11542917.67</c:v>
                </c:pt>
                <c:pt idx="10">
                  <c:v>12830998.74</c:v>
                </c:pt>
                <c:pt idx="11">
                  <c:v>13989836.700000003</c:v>
                </c:pt>
                <c:pt idx="12">
                  <c:v>14176944.459999999</c:v>
                </c:pt>
                <c:pt idx="13">
                  <c:v>14973139.210000001</c:v>
                </c:pt>
                <c:pt idx="14">
                  <c:v>15784884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C-42BF-8A43-340C463B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71404960"/>
        <c:axId val="671405520"/>
      </c:barChart>
      <c:lineChart>
        <c:grouping val="standard"/>
        <c:varyColors val="0"/>
        <c:ser>
          <c:idx val="1"/>
          <c:order val="1"/>
          <c:tx>
            <c:strRef>
              <c:f>'Tulumaks 2012-2022'!$AI$30</c:f>
              <c:strCache>
                <c:ptCount val="1"/>
                <c:pt idx="0">
                  <c:v>Maksumaksjaid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4504685816902013E-2"/>
                  <c:y val="-2.9569215120009075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C-42BF-8A43-340C463B8210}"/>
                </c:ext>
              </c:extLst>
            </c:dLbl>
            <c:dLbl>
              <c:idx val="1"/>
              <c:layout>
                <c:manualLayout>
                  <c:x val="-1.9227772952353662E-2"/>
                  <c:y val="-1.6324654381819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C-42BF-8A43-340C463B8210}"/>
                </c:ext>
              </c:extLst>
            </c:dLbl>
            <c:dLbl>
              <c:idx val="14"/>
              <c:layout>
                <c:manualLayout>
                  <c:x val="-1.8792036588646758E-2"/>
                  <c:y val="-2.2501030078285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B-4A44-8711-4F25AA33F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t-E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'Tulumaks 2012-2022'!$AJ$28:$AX$28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'Tulumaks 2012-2022'!$AJ$30:$AX$30</c:f>
              <c:numCache>
                <c:formatCode>#,##0</c:formatCode>
                <c:ptCount val="15"/>
                <c:pt idx="0">
                  <c:v>8826</c:v>
                </c:pt>
                <c:pt idx="1">
                  <c:v>8170</c:v>
                </c:pt>
                <c:pt idx="2">
                  <c:v>7728</c:v>
                </c:pt>
                <c:pt idx="3">
                  <c:v>7669</c:v>
                </c:pt>
                <c:pt idx="4">
                  <c:v>7746</c:v>
                </c:pt>
                <c:pt idx="5">
                  <c:v>7770</c:v>
                </c:pt>
                <c:pt idx="6">
                  <c:v>7715</c:v>
                </c:pt>
                <c:pt idx="7">
                  <c:v>7879</c:v>
                </c:pt>
                <c:pt idx="8">
                  <c:v>7836</c:v>
                </c:pt>
                <c:pt idx="9">
                  <c:v>7835</c:v>
                </c:pt>
                <c:pt idx="10">
                  <c:v>7825</c:v>
                </c:pt>
                <c:pt idx="11">
                  <c:v>7890</c:v>
                </c:pt>
                <c:pt idx="12">
                  <c:v>7670</c:v>
                </c:pt>
                <c:pt idx="13">
                  <c:v>7648</c:v>
                </c:pt>
                <c:pt idx="14">
                  <c:v>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BC-42BF-8A43-340C463B8210}"/>
            </c:ext>
          </c:extLst>
        </c:ser>
        <c:ser>
          <c:idx val="2"/>
          <c:order val="2"/>
          <c:tx>
            <c:strRef>
              <c:f>'Tulumaks 2012-2022'!$AI$31</c:f>
              <c:strCache>
                <c:ptCount val="1"/>
                <c:pt idx="0">
                  <c:v>Maksustatav tulu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6.1859904648482449E-2"/>
                  <c:y val="-5.9586734252830717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9351318023023036E-2"/>
                      <c:h val="0.12834797483506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FBC-42BF-8A43-340C463B8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t-E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'Tulumaks 2012-2022'!$AJ$28:$AX$28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'Tulumaks 2012-2022'!$AJ$31:$AX$31</c:f>
              <c:numCache>
                <c:formatCode>#,##0</c:formatCode>
                <c:ptCount val="15"/>
                <c:pt idx="0">
                  <c:v>767.20122569362741</c:v>
                </c:pt>
                <c:pt idx="1">
                  <c:v>716.82359101555664</c:v>
                </c:pt>
                <c:pt idx="2">
                  <c:v>699.17420347207963</c:v>
                </c:pt>
                <c:pt idx="3">
                  <c:v>733.37629851784243</c:v>
                </c:pt>
                <c:pt idx="4">
                  <c:v>769</c:v>
                </c:pt>
                <c:pt idx="5">
                  <c:v>819</c:v>
                </c:pt>
                <c:pt idx="6">
                  <c:v>870</c:v>
                </c:pt>
                <c:pt idx="7">
                  <c:v>927</c:v>
                </c:pt>
                <c:pt idx="8">
                  <c:v>979</c:v>
                </c:pt>
                <c:pt idx="9">
                  <c:v>1043</c:v>
                </c:pt>
                <c:pt idx="10">
                  <c:v>1127</c:v>
                </c:pt>
                <c:pt idx="11">
                  <c:v>1265</c:v>
                </c:pt>
                <c:pt idx="12">
                  <c:v>1260</c:v>
                </c:pt>
                <c:pt idx="13">
                  <c:v>1322</c:v>
                </c:pt>
                <c:pt idx="14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BC-42BF-8A43-340C463B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406640"/>
        <c:axId val="671406080"/>
      </c:lineChart>
      <c:catAx>
        <c:axId val="6714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t-EE"/>
          </a:p>
        </c:txPr>
        <c:crossAx val="671405520"/>
        <c:crosses val="autoZero"/>
        <c:auto val="1"/>
        <c:lblAlgn val="ctr"/>
        <c:lblOffset val="100"/>
        <c:noMultiLvlLbl val="0"/>
      </c:catAx>
      <c:valAx>
        <c:axId val="6714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t-EE"/>
          </a:p>
        </c:txPr>
        <c:crossAx val="671404960"/>
        <c:crosses val="autoZero"/>
        <c:crossBetween val="between"/>
      </c:valAx>
      <c:valAx>
        <c:axId val="671406080"/>
        <c:scaling>
          <c:orientation val="minMax"/>
          <c:max val="9000"/>
          <c:min val="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t-EE"/>
          </a:p>
        </c:txPr>
        <c:crossAx val="671406640"/>
        <c:crosses val="max"/>
        <c:crossBetween val="between"/>
      </c:valAx>
      <c:catAx>
        <c:axId val="6714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140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t-EE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52917</xdr:colOff>
      <xdr:row>31</xdr:row>
      <xdr:rowOff>70863</xdr:rowOff>
    </xdr:from>
    <xdr:to>
      <xdr:col>35</xdr:col>
      <xdr:colOff>714375</xdr:colOff>
      <xdr:row>56</xdr:row>
      <xdr:rowOff>140652</xdr:rowOff>
    </xdr:to>
    <xdr:graphicFrame macro="">
      <xdr:nvGraphicFramePr>
        <xdr:cNvPr id="95701" name="Diagramm 2" title="2017 täitmin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88654</xdr:colOff>
      <xdr:row>1</xdr:row>
      <xdr:rowOff>57403</xdr:rowOff>
    </xdr:from>
    <xdr:to>
      <xdr:col>48</xdr:col>
      <xdr:colOff>397896</xdr:colOff>
      <xdr:row>26</xdr:row>
      <xdr:rowOff>29847</xdr:rowOff>
    </xdr:to>
    <xdr:graphicFrame macro="">
      <xdr:nvGraphicFramePr>
        <xdr:cNvPr id="9570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64</xdr:row>
      <xdr:rowOff>11907</xdr:rowOff>
    </xdr:from>
    <xdr:to>
      <xdr:col>38</xdr:col>
      <xdr:colOff>934159</xdr:colOff>
      <xdr:row>82</xdr:row>
      <xdr:rowOff>20192</xdr:rowOff>
    </xdr:to>
    <xdr:pic>
      <xdr:nvPicPr>
        <xdr:cNvPr id="2" name="Pil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" y="4860132"/>
          <a:ext cx="8648700" cy="3008660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84</xdr:row>
      <xdr:rowOff>11907</xdr:rowOff>
    </xdr:from>
    <xdr:to>
      <xdr:col>44</xdr:col>
      <xdr:colOff>328081</xdr:colOff>
      <xdr:row>102</xdr:row>
      <xdr:rowOff>20192</xdr:rowOff>
    </xdr:to>
    <xdr:pic>
      <xdr:nvPicPr>
        <xdr:cNvPr id="2" name="Pil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" y="9411721"/>
          <a:ext cx="8524344" cy="2947428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1</xdr:colOff>
      <xdr:row>61</xdr:row>
      <xdr:rowOff>181428</xdr:rowOff>
    </xdr:from>
    <xdr:to>
      <xdr:col>44</xdr:col>
      <xdr:colOff>9072</xdr:colOff>
      <xdr:row>78</xdr:row>
      <xdr:rowOff>169687</xdr:rowOff>
    </xdr:to>
    <xdr:pic>
      <xdr:nvPicPr>
        <xdr:cNvPr id="3" name="Pilt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4622799"/>
          <a:ext cx="8276771" cy="3689402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</xdr:pic>
    <xdr:clientData/>
  </xdr:twoCellAnchor>
  <xdr:twoCellAnchor editAs="oneCell">
    <xdr:from>
      <xdr:col>43</xdr:col>
      <xdr:colOff>495904</xdr:colOff>
      <xdr:row>65</xdr:row>
      <xdr:rowOff>68036</xdr:rowOff>
    </xdr:from>
    <xdr:to>
      <xdr:col>51</xdr:col>
      <xdr:colOff>623482</xdr:colOff>
      <xdr:row>88</xdr:row>
      <xdr:rowOff>65197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7175" y="5380265"/>
          <a:ext cx="6354207" cy="47487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ahandus/Eelarvestrateegia%202013-2020/Rahandus/Eelarvestrateegia%202013-2020/Eelarvemudel%202013-2020%20Marika%20juuni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ahandus/2012%20a%20EELARVE/TABELID/KUUTULU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ahandus/Eelarvestrateegia%202013-2020/TABELID/KUUTULU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TABELID\KUUTULU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ABELID/KUUTULU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itelleht"/>
      <sheetName val="Volikogu eelarve"/>
      <sheetName val="Valitsuse eelarve"/>
      <sheetName val="Eelarve detailne"/>
      <sheetName val=" Kuni 2011 detailne"/>
      <sheetName val="Tulumaks"/>
      <sheetName val="Maamaks"/>
      <sheetName val="Tasandusfond"/>
      <sheetName val="Investeeringud"/>
      <sheetName val="Tasuvus"/>
      <sheetName val="Likviidne vara"/>
      <sheetName val="Kohustused"/>
      <sheetName val="Sõltuvad"/>
      <sheetName val="Finantsdistsipliin"/>
      <sheetName val="Tundlikkus"/>
      <sheetName val="Graafikud"/>
      <sheetName val="Tegevuskava"/>
      <sheetName val="Kvartaliaruanne"/>
      <sheetName val="Strateegia maj. sisu"/>
      <sheetName val="Strateegia COFOG"/>
      <sheetName val="Strateegia sõltuvad"/>
      <sheetName val="Strateegia arvestusüks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sutuste tulud arvele võetud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sutuste tulud arvele võetud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sutuste tulud arvele võetud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sutuste tulud arvele võetud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estipank.ee/press/prognoos-kiire-hinnakasv-raugeb-eeldatavasti-jargmise-aasta-teises-pooles-21122021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estipank.ee/press/prognoos-kiire-hinnakasv-raugeb-eeldatavasti-jargmise-aasta-teises-pooles-21122021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9"/>
  <sheetViews>
    <sheetView showGridLines="0" tabSelected="1" zoomScaleNormal="100" workbookViewId="0">
      <pane xSplit="1" ySplit="1" topLeftCell="O2" activePane="bottomRight" state="frozen"/>
      <selection pane="topRight" activeCell="B1" sqref="B1"/>
      <selection pane="bottomLeft" activeCell="A2" sqref="A2"/>
      <selection pane="bottomRight" activeCell="S29" sqref="S29"/>
    </sheetView>
  </sheetViews>
  <sheetFormatPr defaultColWidth="9.1328125" defaultRowHeight="13.15" outlineLevelCol="1" x14ac:dyDescent="0.4"/>
  <cols>
    <col min="1" max="1" width="10.19921875" style="2" customWidth="1"/>
    <col min="2" max="4" width="8.3984375" style="2" hidden="1" customWidth="1"/>
    <col min="5" max="5" width="9.3984375" style="2" hidden="1" customWidth="1"/>
    <col min="6" max="6" width="10.1328125" style="2" hidden="1" customWidth="1"/>
    <col min="7" max="7" width="9.59765625" style="2" hidden="1" customWidth="1"/>
    <col min="8" max="10" width="9" style="2" hidden="1" customWidth="1"/>
    <col min="11" max="11" width="8.86328125" style="2" hidden="1" customWidth="1"/>
    <col min="12" max="13" width="9.86328125" style="2" hidden="1" customWidth="1"/>
    <col min="14" max="14" width="9.6640625" style="2" hidden="1" customWidth="1"/>
    <col min="15" max="15" width="9.86328125" style="2" bestFit="1" customWidth="1"/>
    <col min="16" max="19" width="9.86328125" style="2" customWidth="1"/>
    <col min="20" max="20" width="9.86328125" style="2" customWidth="1" outlineLevel="1"/>
    <col min="21" max="21" width="7.9296875" style="2" customWidth="1" outlineLevel="1"/>
    <col min="22" max="22" width="9.86328125" style="2" bestFit="1" customWidth="1"/>
    <col min="23" max="23" width="10.6640625" style="2" customWidth="1"/>
    <col min="24" max="24" width="10.1328125" style="2" customWidth="1"/>
    <col min="25" max="25" width="10" style="2" customWidth="1"/>
    <col min="26" max="26" width="6.59765625" style="2" customWidth="1"/>
    <col min="27" max="32" width="5.6640625" style="2" hidden="1" customWidth="1"/>
    <col min="33" max="34" width="10.1328125" style="2" customWidth="1"/>
    <col min="35" max="35" width="15.1328125" style="2" customWidth="1"/>
    <col min="36" max="36" width="11.3984375" style="2" customWidth="1"/>
    <col min="37" max="42" width="8.86328125" style="2" customWidth="1"/>
    <col min="43" max="46" width="10.6640625" style="2" customWidth="1"/>
    <col min="47" max="47" width="10.1328125" style="2" customWidth="1"/>
    <col min="48" max="48" width="10.86328125" style="2" customWidth="1"/>
    <col min="49" max="49" width="11.3984375" style="2" customWidth="1"/>
    <col min="50" max="50" width="9.1328125" style="2"/>
    <col min="51" max="51" width="9.86328125" style="2" bestFit="1" customWidth="1"/>
    <col min="52" max="16384" width="9.1328125" style="2"/>
  </cols>
  <sheetData>
    <row r="1" spans="1:42" ht="13.5" thickBot="1" x14ac:dyDescent="0.45">
      <c r="A1" s="1" t="s">
        <v>36</v>
      </c>
      <c r="F1" s="3" t="s">
        <v>25</v>
      </c>
      <c r="G1" s="3" t="s">
        <v>25</v>
      </c>
      <c r="H1" s="3" t="s">
        <v>25</v>
      </c>
      <c r="I1" s="3" t="s">
        <v>25</v>
      </c>
      <c r="J1" s="3" t="s">
        <v>25</v>
      </c>
      <c r="K1" s="3" t="s">
        <v>25</v>
      </c>
      <c r="L1" s="85" t="s">
        <v>25</v>
      </c>
      <c r="M1" s="85" t="s">
        <v>25</v>
      </c>
      <c r="N1" s="85" t="s">
        <v>24</v>
      </c>
      <c r="O1" s="85" t="s">
        <v>24</v>
      </c>
      <c r="P1" s="85" t="s">
        <v>24</v>
      </c>
      <c r="Q1" s="85" t="s">
        <v>24</v>
      </c>
      <c r="R1" s="85"/>
      <c r="S1" s="85"/>
      <c r="T1" s="85"/>
      <c r="U1" s="85"/>
      <c r="V1" s="85" t="s">
        <v>24</v>
      </c>
      <c r="W1" s="85" t="s">
        <v>24</v>
      </c>
      <c r="X1" s="85" t="s">
        <v>24</v>
      </c>
      <c r="Y1" s="85" t="s">
        <v>24</v>
      </c>
      <c r="AH1" s="18"/>
      <c r="AK1" s="4"/>
      <c r="AL1" s="4"/>
      <c r="AM1" s="4"/>
      <c r="AN1" s="4"/>
    </row>
    <row r="2" spans="1:42" ht="61.5" customHeight="1" thickBot="1" x14ac:dyDescent="0.45">
      <c r="A2" s="5" t="s">
        <v>21</v>
      </c>
      <c r="B2" s="91">
        <v>2005</v>
      </c>
      <c r="C2" s="91">
        <v>2006</v>
      </c>
      <c r="D2" s="91">
        <v>2007</v>
      </c>
      <c r="E2" s="91">
        <v>2008</v>
      </c>
      <c r="F2" s="91">
        <v>2009</v>
      </c>
      <c r="G2" s="91">
        <v>2010</v>
      </c>
      <c r="H2" s="92">
        <v>2011</v>
      </c>
      <c r="I2" s="92">
        <v>2012</v>
      </c>
      <c r="J2" s="93">
        <v>2013</v>
      </c>
      <c r="K2" s="92">
        <v>2014</v>
      </c>
      <c r="L2" s="92">
        <v>2015</v>
      </c>
      <c r="M2" s="93">
        <v>2016</v>
      </c>
      <c r="N2" s="93">
        <v>2016</v>
      </c>
      <c r="O2" s="93">
        <v>2017</v>
      </c>
      <c r="P2" s="93">
        <v>2018</v>
      </c>
      <c r="Q2" s="93">
        <v>2019</v>
      </c>
      <c r="R2" s="93">
        <v>2020</v>
      </c>
      <c r="S2" s="93" t="s">
        <v>37</v>
      </c>
      <c r="T2" s="267" t="s">
        <v>138</v>
      </c>
      <c r="U2" s="263" t="s">
        <v>139</v>
      </c>
      <c r="V2" s="68" t="s">
        <v>140</v>
      </c>
      <c r="W2" s="72" t="s">
        <v>38</v>
      </c>
      <c r="X2" s="71" t="s">
        <v>39</v>
      </c>
      <c r="Y2" s="73" t="s">
        <v>40</v>
      </c>
      <c r="Z2" s="70" t="s">
        <v>41</v>
      </c>
      <c r="AA2" s="69"/>
      <c r="AB2" s="69"/>
      <c r="AC2" s="69"/>
      <c r="AD2" s="69"/>
      <c r="AE2" s="69"/>
      <c r="AF2" s="69"/>
      <c r="AG2" s="80" t="s">
        <v>42</v>
      </c>
      <c r="AH2" s="18"/>
      <c r="AI2" s="26"/>
      <c r="AJ2" s="26"/>
      <c r="AK2" s="26"/>
      <c r="AL2" s="26"/>
      <c r="AM2" s="26"/>
      <c r="AN2" s="26"/>
      <c r="AO2" s="26"/>
      <c r="AP2" s="26"/>
    </row>
    <row r="3" spans="1:42" x14ac:dyDescent="0.4">
      <c r="A3" s="37" t="s">
        <v>0</v>
      </c>
      <c r="B3" s="38">
        <v>485307.86241100304</v>
      </c>
      <c r="C3" s="38">
        <v>601958.38073447265</v>
      </c>
      <c r="D3" s="38">
        <v>777572.2521186712</v>
      </c>
      <c r="E3" s="38">
        <v>918351.65467258065</v>
      </c>
      <c r="F3" s="38">
        <v>856405.28932803299</v>
      </c>
      <c r="G3" s="38">
        <v>694525.95656564354</v>
      </c>
      <c r="H3" s="39">
        <v>743663</v>
      </c>
      <c r="I3" s="39">
        <v>764887</v>
      </c>
      <c r="J3" s="39">
        <v>803529</v>
      </c>
      <c r="K3" s="39">
        <v>903891</v>
      </c>
      <c r="L3" s="39">
        <v>933704</v>
      </c>
      <c r="M3" s="39">
        <v>1009780</v>
      </c>
      <c r="N3" s="39">
        <v>803865.39</v>
      </c>
      <c r="O3" s="39">
        <v>873780.75</v>
      </c>
      <c r="P3" s="39">
        <v>954157.22</v>
      </c>
      <c r="Q3" s="39">
        <v>1039981.08</v>
      </c>
      <c r="R3" s="39">
        <v>1107130.46</v>
      </c>
      <c r="S3" s="39">
        <v>1099824.68</v>
      </c>
      <c r="T3" s="261">
        <v>1192035.1730401625</v>
      </c>
      <c r="U3" s="264"/>
      <c r="V3" s="67">
        <v>1192035.1730401625</v>
      </c>
      <c r="W3" s="77">
        <v>1198623.54</v>
      </c>
      <c r="X3" s="74">
        <f>+W3-V3</f>
        <v>6588.3669598374981</v>
      </c>
      <c r="Y3" s="75">
        <f>+W3/V3-100%</f>
        <v>5.5269904016628235E-3</v>
      </c>
      <c r="Z3" s="94">
        <f>+W3/S3-100%</f>
        <v>8.9831462956441399E-2</v>
      </c>
      <c r="AA3" s="55"/>
      <c r="AB3" s="55"/>
      <c r="AC3" s="55"/>
      <c r="AD3" s="55"/>
      <c r="AE3" s="55"/>
      <c r="AF3" s="55"/>
      <c r="AG3" s="59">
        <f>+W3-S3</f>
        <v>98798.860000000102</v>
      </c>
      <c r="AH3" s="18"/>
      <c r="AI3" s="259"/>
      <c r="AJ3" s="26"/>
      <c r="AK3" s="26"/>
      <c r="AL3" s="26"/>
      <c r="AM3" s="26"/>
      <c r="AN3" s="26"/>
      <c r="AO3" s="26"/>
      <c r="AP3" s="26"/>
    </row>
    <row r="4" spans="1:42" x14ac:dyDescent="0.4">
      <c r="A4" s="40" t="s">
        <v>1</v>
      </c>
      <c r="B4" s="23">
        <v>398231.50077333098</v>
      </c>
      <c r="C4" s="23">
        <v>508158.38584740454</v>
      </c>
      <c r="D4" s="23">
        <v>615948.44886429003</v>
      </c>
      <c r="E4" s="23">
        <v>724433.9345289073</v>
      </c>
      <c r="F4" s="23">
        <v>714625.03035803314</v>
      </c>
      <c r="G4" s="23">
        <v>575389.81728937919</v>
      </c>
      <c r="H4" s="41">
        <v>559337</v>
      </c>
      <c r="I4" s="41">
        <v>626674.22499999998</v>
      </c>
      <c r="J4" s="41">
        <v>652002</v>
      </c>
      <c r="K4" s="41">
        <v>681354</v>
      </c>
      <c r="L4" s="41">
        <v>714560.35</v>
      </c>
      <c r="M4" s="41">
        <v>793927</v>
      </c>
      <c r="N4" s="41">
        <v>829657.06</v>
      </c>
      <c r="O4" s="41">
        <v>872992.5</v>
      </c>
      <c r="P4" s="41">
        <v>967168.31</v>
      </c>
      <c r="Q4" s="39">
        <v>1078061.6200000001</v>
      </c>
      <c r="R4" s="39">
        <v>1110954.48</v>
      </c>
      <c r="S4" s="39">
        <v>1133529.51</v>
      </c>
      <c r="T4" s="261">
        <v>1221984.4017259686</v>
      </c>
      <c r="U4" s="264"/>
      <c r="V4" s="67">
        <v>1221984.4017259686</v>
      </c>
      <c r="W4" s="78">
        <v>1209195.67</v>
      </c>
      <c r="X4" s="74">
        <f>+W4-V4</f>
        <v>-12788.731725968653</v>
      </c>
      <c r="Y4" s="75">
        <f>+W4/V4-100%</f>
        <v>-1.0465544165625507E-2</v>
      </c>
      <c r="Z4" s="94">
        <f>+W4/S4-100%</f>
        <v>6.6752704126776585E-2</v>
      </c>
      <c r="AA4" s="55"/>
      <c r="AB4" s="55"/>
      <c r="AC4" s="55"/>
      <c r="AD4" s="55"/>
      <c r="AE4" s="55"/>
      <c r="AF4" s="55"/>
      <c r="AG4" s="59">
        <f>+W4-S4</f>
        <v>75666.159999999916</v>
      </c>
      <c r="AH4" s="18"/>
      <c r="AI4" s="26"/>
      <c r="AJ4" s="26"/>
      <c r="AK4" s="26"/>
      <c r="AL4" s="26"/>
      <c r="AM4" s="26"/>
      <c r="AN4" s="26"/>
      <c r="AO4" s="26"/>
      <c r="AP4" s="26"/>
    </row>
    <row r="5" spans="1:42" x14ac:dyDescent="0.4">
      <c r="A5" s="40" t="s">
        <v>2</v>
      </c>
      <c r="B5" s="23">
        <v>463768.1668860967</v>
      </c>
      <c r="C5" s="23">
        <v>598865.44041517004</v>
      </c>
      <c r="D5" s="23">
        <v>661875.74297291425</v>
      </c>
      <c r="E5" s="23">
        <v>778770.08423555281</v>
      </c>
      <c r="F5" s="23">
        <v>708531.50205156393</v>
      </c>
      <c r="G5" s="23">
        <v>582120.20502856851</v>
      </c>
      <c r="H5" s="41">
        <v>614202</v>
      </c>
      <c r="I5" s="41">
        <v>664246</v>
      </c>
      <c r="J5" s="41">
        <v>722774</v>
      </c>
      <c r="K5" s="41">
        <v>787009</v>
      </c>
      <c r="L5" s="41">
        <v>872112</v>
      </c>
      <c r="M5" s="41">
        <v>834781</v>
      </c>
      <c r="N5" s="41">
        <v>1005018.0700000001</v>
      </c>
      <c r="O5" s="41">
        <v>1011736.53</v>
      </c>
      <c r="P5" s="41">
        <v>1097296.49</v>
      </c>
      <c r="Q5" s="39">
        <v>1278049.33</v>
      </c>
      <c r="R5" s="39">
        <v>1236872.02</v>
      </c>
      <c r="S5" s="39">
        <v>1275668.4099999999</v>
      </c>
      <c r="T5" s="261">
        <v>1417877.5964764932</v>
      </c>
      <c r="U5" s="264"/>
      <c r="V5" s="67">
        <v>1417877.5964764932</v>
      </c>
      <c r="W5" s="78">
        <v>1393761.91</v>
      </c>
      <c r="X5" s="74">
        <f>+W5-V5</f>
        <v>-24115.686476493254</v>
      </c>
      <c r="Y5" s="75">
        <f>+W5/V5-100%</f>
        <v>-1.7008299261108362E-2</v>
      </c>
      <c r="Z5" s="94">
        <f>+W5/S5-100%</f>
        <v>9.2573821750434382E-2</v>
      </c>
      <c r="AA5" s="55"/>
      <c r="AB5" s="55"/>
      <c r="AC5" s="55"/>
      <c r="AD5" s="55"/>
      <c r="AE5" s="55"/>
      <c r="AF5" s="55"/>
      <c r="AG5" s="59">
        <f>+W5-S5</f>
        <v>118093.5</v>
      </c>
      <c r="AH5" s="18"/>
      <c r="AI5" s="26"/>
      <c r="AJ5" s="26"/>
      <c r="AK5" s="26"/>
      <c r="AL5" s="26"/>
      <c r="AM5" s="26"/>
      <c r="AN5" s="26"/>
      <c r="AO5" s="26"/>
      <c r="AP5" s="26"/>
    </row>
    <row r="6" spans="1:42" x14ac:dyDescent="0.4">
      <c r="A6" s="40" t="s">
        <v>3</v>
      </c>
      <c r="B6" s="23">
        <v>469715.14578247035</v>
      </c>
      <c r="C6" s="23">
        <v>508761.52007464884</v>
      </c>
      <c r="D6" s="23">
        <v>687593.72643257969</v>
      </c>
      <c r="E6" s="23">
        <v>794590.64589112019</v>
      </c>
      <c r="F6" s="23">
        <v>704884.31991614797</v>
      </c>
      <c r="G6" s="23">
        <v>595219.28086613072</v>
      </c>
      <c r="H6" s="41">
        <v>615074</v>
      </c>
      <c r="I6" s="41">
        <v>652254</v>
      </c>
      <c r="J6" s="41">
        <v>726870</v>
      </c>
      <c r="K6" s="41">
        <v>772735</v>
      </c>
      <c r="L6" s="41">
        <v>810952</v>
      </c>
      <c r="M6" s="41">
        <v>872748</v>
      </c>
      <c r="N6" s="41">
        <v>921189.39</v>
      </c>
      <c r="O6" s="41">
        <v>935413.75</v>
      </c>
      <c r="P6" s="41">
        <v>1045518.63</v>
      </c>
      <c r="Q6" s="39">
        <v>1135936.53</v>
      </c>
      <c r="R6" s="39">
        <v>1195648.6299999999</v>
      </c>
      <c r="S6" s="39">
        <v>1267170.53</v>
      </c>
      <c r="T6" s="261">
        <v>1304097.2195798901</v>
      </c>
      <c r="U6" s="264"/>
      <c r="V6" s="67">
        <v>1304097.2195798901</v>
      </c>
      <c r="W6" s="78">
        <v>1388280.11</v>
      </c>
      <c r="X6" s="74">
        <f>+W6-V6</f>
        <v>84182.890420109965</v>
      </c>
      <c r="Y6" s="75">
        <f>+W6/V6-100%</f>
        <v>6.4552618590222322E-2</v>
      </c>
      <c r="Z6" s="94">
        <f>+W6/S6-100%</f>
        <v>9.5574807914764248E-2</v>
      </c>
      <c r="AA6" s="55"/>
      <c r="AB6" s="55"/>
      <c r="AC6" s="55"/>
      <c r="AD6" s="55"/>
      <c r="AE6" s="55"/>
      <c r="AF6" s="55"/>
      <c r="AG6" s="59">
        <f>+W6-S6</f>
        <v>121109.58000000007</v>
      </c>
      <c r="AH6" s="18"/>
      <c r="AI6" s="26"/>
      <c r="AJ6" s="26"/>
      <c r="AK6" s="26"/>
      <c r="AL6" s="26"/>
      <c r="AM6" s="26"/>
      <c r="AN6" s="26"/>
      <c r="AO6" s="26"/>
      <c r="AP6" s="26"/>
    </row>
    <row r="7" spans="1:42" x14ac:dyDescent="0.4">
      <c r="A7" s="40" t="s">
        <v>4</v>
      </c>
      <c r="B7" s="23">
        <v>476620.28811371163</v>
      </c>
      <c r="C7" s="23">
        <v>573513.7985249192</v>
      </c>
      <c r="D7" s="23">
        <v>695997.46909871791</v>
      </c>
      <c r="E7" s="23">
        <v>804289.43029156502</v>
      </c>
      <c r="F7" s="23">
        <v>669017.61405033688</v>
      </c>
      <c r="G7" s="23">
        <v>616594.61651221348</v>
      </c>
      <c r="H7" s="41">
        <v>653348</v>
      </c>
      <c r="I7" s="41">
        <v>681376</v>
      </c>
      <c r="J7" s="41">
        <v>724248</v>
      </c>
      <c r="K7" s="41">
        <v>756973</v>
      </c>
      <c r="L7" s="41">
        <v>891698</v>
      </c>
      <c r="M7" s="41">
        <v>910843</v>
      </c>
      <c r="N7" s="41">
        <v>882072.49</v>
      </c>
      <c r="O7" s="41">
        <v>929176.2</v>
      </c>
      <c r="P7" s="41">
        <v>1056240.22</v>
      </c>
      <c r="Q7" s="39">
        <v>1149036.43</v>
      </c>
      <c r="R7" s="39">
        <v>1127559.0900000001</v>
      </c>
      <c r="S7" s="39">
        <v>1237153.4099999999</v>
      </c>
      <c r="T7" s="261">
        <v>1318301.9692585506</v>
      </c>
      <c r="U7" s="264"/>
      <c r="V7" s="67">
        <v>1318301.9692585506</v>
      </c>
      <c r="W7" s="78">
        <v>1305691.8799999999</v>
      </c>
      <c r="X7" s="74">
        <f>+W7-V7</f>
        <v>-12610.089258550666</v>
      </c>
      <c r="Y7" s="75">
        <f>+W7/V7-100%</f>
        <v>-9.5654027321546709E-3</v>
      </c>
      <c r="Z7" s="94">
        <f>+W7/S7-100%</f>
        <v>5.5400138290044421E-2</v>
      </c>
      <c r="AA7" s="56"/>
      <c r="AB7" s="56"/>
      <c r="AC7" s="56"/>
      <c r="AD7" s="56"/>
      <c r="AE7" s="56"/>
      <c r="AF7" s="56"/>
      <c r="AG7" s="59">
        <f>+W7-S7</f>
        <v>68538.469999999972</v>
      </c>
      <c r="AH7" s="18"/>
      <c r="AI7" s="26"/>
      <c r="AJ7" s="26"/>
      <c r="AK7" s="26"/>
      <c r="AL7" s="26"/>
      <c r="AM7" s="26"/>
      <c r="AN7" s="26"/>
      <c r="AO7" s="26"/>
      <c r="AP7" s="26"/>
    </row>
    <row r="8" spans="1:42" x14ac:dyDescent="0.4">
      <c r="A8" s="40" t="s">
        <v>5</v>
      </c>
      <c r="B8" s="23">
        <v>471638.11946365348</v>
      </c>
      <c r="C8" s="23">
        <v>555183.04296141013</v>
      </c>
      <c r="D8" s="23">
        <v>669729.78154998529</v>
      </c>
      <c r="E8" s="23">
        <v>838088.5304155536</v>
      </c>
      <c r="F8" s="23">
        <v>704903.68514565472</v>
      </c>
      <c r="G8" s="23">
        <v>621911.98087763484</v>
      </c>
      <c r="H8" s="41">
        <v>646428</v>
      </c>
      <c r="I8" s="41">
        <v>692120</v>
      </c>
      <c r="J8" s="41">
        <v>759838</v>
      </c>
      <c r="K8" s="41">
        <v>789789.97653173504</v>
      </c>
      <c r="L8" s="41">
        <v>815321</v>
      </c>
      <c r="M8" s="41">
        <v>983291</v>
      </c>
      <c r="N8" s="41">
        <v>1043858.73</v>
      </c>
      <c r="O8" s="41">
        <v>1097564.53</v>
      </c>
      <c r="P8" s="41">
        <v>1124874.08</v>
      </c>
      <c r="Q8" s="39">
        <v>1210557.6100000001</v>
      </c>
      <c r="R8" s="39">
        <v>1192271.54</v>
      </c>
      <c r="S8" s="39">
        <v>1273209.72</v>
      </c>
      <c r="T8" s="261">
        <v>1396433.6819575799</v>
      </c>
      <c r="U8" s="264">
        <v>-20000</v>
      </c>
      <c r="V8" s="261">
        <f>+T8+U8</f>
        <v>1376433.6819575799</v>
      </c>
      <c r="W8" s="78">
        <v>1411071.19</v>
      </c>
      <c r="X8" s="74">
        <f>+W8-V8</f>
        <v>34637.508042420028</v>
      </c>
      <c r="Y8" s="75">
        <f>+W8/V8-100%</f>
        <v>2.5164676290947874E-2</v>
      </c>
      <c r="Z8" s="94">
        <f>+W8/S8-100%</f>
        <v>0.10827868169275368</v>
      </c>
      <c r="AA8" s="56"/>
      <c r="AB8" s="56"/>
      <c r="AC8" s="56"/>
      <c r="AD8" s="56"/>
      <c r="AE8" s="56"/>
      <c r="AF8" s="56"/>
      <c r="AG8" s="59">
        <f>+W8-S8</f>
        <v>137861.46999999997</v>
      </c>
      <c r="AH8" s="18"/>
      <c r="AI8" s="26"/>
      <c r="AJ8" s="26"/>
      <c r="AK8" s="26"/>
      <c r="AL8" s="26"/>
      <c r="AM8" s="26"/>
      <c r="AN8" s="26"/>
      <c r="AO8" s="26"/>
      <c r="AP8" s="26"/>
    </row>
    <row r="9" spans="1:42" x14ac:dyDescent="0.4">
      <c r="A9" s="50" t="s">
        <v>6</v>
      </c>
      <c r="B9" s="23">
        <v>569761.80128590239</v>
      </c>
      <c r="C9" s="23">
        <v>701855.8664502193</v>
      </c>
      <c r="D9" s="23">
        <v>956190.67401224503</v>
      </c>
      <c r="E9" s="23">
        <v>1081661.5750386666</v>
      </c>
      <c r="F9" s="23">
        <v>817709.59825137735</v>
      </c>
      <c r="G9" s="23">
        <v>747520.61874983704</v>
      </c>
      <c r="H9" s="41">
        <v>780739</v>
      </c>
      <c r="I9" s="41">
        <v>834658.60687499994</v>
      </c>
      <c r="J9" s="41">
        <v>906660</v>
      </c>
      <c r="K9" s="41">
        <v>931573</v>
      </c>
      <c r="L9" s="41">
        <v>962158</v>
      </c>
      <c r="M9" s="41">
        <v>1046988</v>
      </c>
      <c r="N9" s="41">
        <v>913877.29</v>
      </c>
      <c r="O9" s="41">
        <v>978863.01</v>
      </c>
      <c r="P9" s="41">
        <v>1098773.19</v>
      </c>
      <c r="Q9" s="39">
        <v>1180577.03</v>
      </c>
      <c r="R9" s="39">
        <v>1204133.3799999999</v>
      </c>
      <c r="S9" s="39">
        <v>1285948.6000000001</v>
      </c>
      <c r="T9" s="261">
        <v>1362947.8214997628</v>
      </c>
      <c r="U9" s="264">
        <v>-25000</v>
      </c>
      <c r="V9" s="261">
        <f t="shared" ref="V9:V14" si="0">+T9+U9</f>
        <v>1337947.8214997628</v>
      </c>
      <c r="W9" s="78"/>
      <c r="X9" s="74"/>
      <c r="Y9" s="75"/>
      <c r="Z9" s="94"/>
      <c r="AA9" s="56"/>
      <c r="AB9" s="56"/>
      <c r="AC9" s="56"/>
      <c r="AD9" s="56"/>
      <c r="AE9" s="56"/>
      <c r="AF9" s="56"/>
      <c r="AG9" s="59"/>
      <c r="AH9" s="18"/>
      <c r="AI9" s="26"/>
      <c r="AJ9" s="26"/>
      <c r="AK9" s="26"/>
      <c r="AL9" s="26"/>
      <c r="AM9" s="26"/>
      <c r="AN9" s="26"/>
      <c r="AO9" s="26"/>
      <c r="AP9" s="26"/>
    </row>
    <row r="10" spans="1:42" x14ac:dyDescent="0.4">
      <c r="A10" s="50" t="s">
        <v>7</v>
      </c>
      <c r="B10" s="23">
        <v>495169.74933851446</v>
      </c>
      <c r="C10" s="23">
        <v>599441.47610343469</v>
      </c>
      <c r="D10" s="23">
        <v>669268.53118249332</v>
      </c>
      <c r="E10" s="23">
        <v>848651.08074597677</v>
      </c>
      <c r="F10" s="23">
        <v>678710.007285928</v>
      </c>
      <c r="G10" s="23">
        <v>627955.72200989351</v>
      </c>
      <c r="H10" s="41">
        <v>671380</v>
      </c>
      <c r="I10" s="41">
        <v>712501</v>
      </c>
      <c r="J10" s="41">
        <v>769557</v>
      </c>
      <c r="K10" s="41">
        <v>831873</v>
      </c>
      <c r="L10" s="41">
        <v>903875</v>
      </c>
      <c r="M10" s="41">
        <v>925165</v>
      </c>
      <c r="N10" s="41">
        <v>775409.45</v>
      </c>
      <c r="O10" s="41">
        <v>847829.49</v>
      </c>
      <c r="P10" s="41">
        <v>1000280.14</v>
      </c>
      <c r="Q10" s="39">
        <v>1112765.3999999999</v>
      </c>
      <c r="R10" s="39">
        <v>1171699.5</v>
      </c>
      <c r="S10" s="39">
        <v>1194486.51</v>
      </c>
      <c r="T10" s="261">
        <v>1262556.8384375011</v>
      </c>
      <c r="U10" s="264">
        <v>-35000</v>
      </c>
      <c r="V10" s="261">
        <f t="shared" si="0"/>
        <v>1227556.8384375011</v>
      </c>
      <c r="W10" s="78"/>
      <c r="X10" s="74"/>
      <c r="Y10" s="75"/>
      <c r="Z10" s="94"/>
      <c r="AA10" s="56"/>
      <c r="AB10" s="56"/>
      <c r="AC10" s="56"/>
      <c r="AD10" s="56"/>
      <c r="AE10" s="56"/>
      <c r="AF10" s="56"/>
      <c r="AG10" s="59"/>
      <c r="AH10" s="18"/>
      <c r="AI10" s="26"/>
      <c r="AJ10" s="26"/>
      <c r="AK10" s="26"/>
      <c r="AL10" s="26"/>
      <c r="AM10" s="26"/>
      <c r="AN10" s="26"/>
      <c r="AO10" s="26"/>
      <c r="AP10" s="26"/>
    </row>
    <row r="11" spans="1:42" x14ac:dyDescent="0.4">
      <c r="A11" s="50" t="s">
        <v>8</v>
      </c>
      <c r="B11" s="23">
        <v>456643.7436887247</v>
      </c>
      <c r="C11" s="23">
        <v>537509.42696815927</v>
      </c>
      <c r="D11" s="23">
        <v>646598.43032991199</v>
      </c>
      <c r="E11" s="23">
        <v>729023.941303542</v>
      </c>
      <c r="F11" s="23">
        <v>606865.5810207969</v>
      </c>
      <c r="G11" s="23">
        <v>547726.05448408937</v>
      </c>
      <c r="H11" s="41">
        <v>576478</v>
      </c>
      <c r="I11" s="41">
        <v>612284</v>
      </c>
      <c r="J11" s="41">
        <v>653076</v>
      </c>
      <c r="K11" s="41">
        <v>712323</v>
      </c>
      <c r="L11" s="41">
        <v>798964</v>
      </c>
      <c r="M11" s="41">
        <v>792450</v>
      </c>
      <c r="N11" s="41">
        <v>858494.92999999993</v>
      </c>
      <c r="O11" s="41">
        <v>889525.44</v>
      </c>
      <c r="P11" s="41">
        <v>1043129.63</v>
      </c>
      <c r="Q11" s="39">
        <v>1111143.4099999999</v>
      </c>
      <c r="R11" s="39">
        <v>1125294.8700000001</v>
      </c>
      <c r="S11" s="39">
        <v>1211289.57</v>
      </c>
      <c r="T11" s="261">
        <v>1288398.0274212181</v>
      </c>
      <c r="U11" s="264">
        <v>-35000</v>
      </c>
      <c r="V11" s="261">
        <f t="shared" si="0"/>
        <v>1253398.0274212181</v>
      </c>
      <c r="W11" s="78"/>
      <c r="X11" s="74"/>
      <c r="Y11" s="75"/>
      <c r="Z11" s="94"/>
      <c r="AA11" s="56"/>
      <c r="AB11" s="56"/>
      <c r="AC11" s="56"/>
      <c r="AD11" s="56"/>
      <c r="AE11" s="56"/>
      <c r="AF11" s="56"/>
      <c r="AG11" s="59"/>
      <c r="AH11" s="18"/>
      <c r="AI11" s="26"/>
      <c r="AJ11" s="26"/>
      <c r="AK11" s="26"/>
      <c r="AL11" s="26"/>
      <c r="AM11" s="26"/>
      <c r="AN11" s="26"/>
      <c r="AO11" s="26"/>
      <c r="AP11" s="26"/>
    </row>
    <row r="12" spans="1:42" x14ac:dyDescent="0.4">
      <c r="A12" s="40" t="s">
        <v>9</v>
      </c>
      <c r="B12" s="23">
        <v>483971.66157503868</v>
      </c>
      <c r="C12" s="23">
        <v>557832.88382140535</v>
      </c>
      <c r="D12" s="23">
        <v>692371.63345391338</v>
      </c>
      <c r="E12" s="23">
        <v>790817.87736632884</v>
      </c>
      <c r="F12" s="23">
        <v>556431.87657382432</v>
      </c>
      <c r="G12" s="23">
        <v>595569.51670011377</v>
      </c>
      <c r="H12" s="41">
        <v>622290</v>
      </c>
      <c r="I12" s="41">
        <v>674709.42764062504</v>
      </c>
      <c r="J12" s="41">
        <v>729244</v>
      </c>
      <c r="K12" s="41">
        <v>773728</v>
      </c>
      <c r="L12" s="41">
        <v>841757.8</v>
      </c>
      <c r="M12" s="41">
        <v>883761</v>
      </c>
      <c r="N12" s="41">
        <v>890834.08</v>
      </c>
      <c r="O12" s="41">
        <v>986956.84</v>
      </c>
      <c r="P12" s="41">
        <v>1056120.23</v>
      </c>
      <c r="Q12" s="39">
        <v>1157832.3700000001</v>
      </c>
      <c r="R12" s="39">
        <v>1162990.25</v>
      </c>
      <c r="S12" s="39">
        <v>1251685.22</v>
      </c>
      <c r="T12" s="261">
        <v>1323267.1438026323</v>
      </c>
      <c r="U12" s="264">
        <v>-40000</v>
      </c>
      <c r="V12" s="261">
        <f t="shared" si="0"/>
        <v>1283267.1438026323</v>
      </c>
      <c r="W12" s="78"/>
      <c r="X12" s="74"/>
      <c r="Y12" s="75"/>
      <c r="Z12" s="94"/>
      <c r="AA12" s="56"/>
      <c r="AB12" s="56"/>
      <c r="AC12" s="56"/>
      <c r="AD12" s="56"/>
      <c r="AE12" s="56"/>
      <c r="AF12" s="56"/>
      <c r="AG12" s="59"/>
      <c r="AH12" s="18"/>
      <c r="AI12" s="26"/>
      <c r="AJ12" s="26"/>
      <c r="AK12" s="26"/>
      <c r="AL12" s="26"/>
      <c r="AM12" s="26"/>
      <c r="AN12" s="26"/>
      <c r="AO12" s="26"/>
      <c r="AP12" s="26"/>
    </row>
    <row r="13" spans="1:42" s="6" customFormat="1" x14ac:dyDescent="0.4">
      <c r="A13" s="51" t="s">
        <v>10</v>
      </c>
      <c r="B13" s="42">
        <v>489884.3838277965</v>
      </c>
      <c r="C13" s="42">
        <v>611295.74476244044</v>
      </c>
      <c r="D13" s="42">
        <v>701447.98230925575</v>
      </c>
      <c r="E13" s="42">
        <v>761733.79520151345</v>
      </c>
      <c r="F13" s="42">
        <v>634862.2703974027</v>
      </c>
      <c r="G13" s="42">
        <v>629716.04054554983</v>
      </c>
      <c r="H13" s="43">
        <v>656550</v>
      </c>
      <c r="I13" s="43">
        <v>670122</v>
      </c>
      <c r="J13" s="43">
        <v>748487</v>
      </c>
      <c r="K13" s="43">
        <v>786092</v>
      </c>
      <c r="L13" s="43">
        <v>847967</v>
      </c>
      <c r="M13" s="43">
        <v>899280</v>
      </c>
      <c r="N13" s="43">
        <v>912367.8</v>
      </c>
      <c r="O13" s="43">
        <v>993781.2</v>
      </c>
      <c r="P13" s="43">
        <v>1090852.83</v>
      </c>
      <c r="Q13" s="54">
        <v>1178985.6599999999</v>
      </c>
      <c r="R13" s="54">
        <v>1169782.9099999999</v>
      </c>
      <c r="S13" s="54">
        <v>1257639.32</v>
      </c>
      <c r="T13" s="261">
        <v>1357087.6389827479</v>
      </c>
      <c r="U13" s="264">
        <v>-45000</v>
      </c>
      <c r="V13" s="261">
        <f t="shared" si="0"/>
        <v>1312087.6389827479</v>
      </c>
      <c r="W13" s="86"/>
      <c r="X13" s="74"/>
      <c r="Y13" s="75"/>
      <c r="Z13" s="94"/>
      <c r="AA13" s="57"/>
      <c r="AB13" s="57"/>
      <c r="AC13" s="57"/>
      <c r="AD13" s="57"/>
      <c r="AE13" s="57"/>
      <c r="AF13" s="57"/>
      <c r="AG13" s="59"/>
      <c r="AH13" s="18"/>
      <c r="AI13" s="26"/>
      <c r="AJ13" s="26"/>
      <c r="AK13" s="26"/>
      <c r="AL13" s="26"/>
      <c r="AM13" s="26"/>
      <c r="AN13" s="26"/>
      <c r="AO13" s="26"/>
      <c r="AP13" s="26"/>
    </row>
    <row r="14" spans="1:42" ht="13.5" thickBot="1" x14ac:dyDescent="0.45">
      <c r="A14" s="44" t="s">
        <v>11</v>
      </c>
      <c r="B14" s="45">
        <v>498584.99610138946</v>
      </c>
      <c r="C14" s="45">
        <v>613359.70754029637</v>
      </c>
      <c r="D14" s="45">
        <v>750396.0604859842</v>
      </c>
      <c r="E14" s="45">
        <v>747130.36698068597</v>
      </c>
      <c r="F14" s="45">
        <v>638671.85970114917</v>
      </c>
      <c r="G14" s="45">
        <v>630957.46039572998</v>
      </c>
      <c r="H14" s="46">
        <v>658626</v>
      </c>
      <c r="I14" s="46">
        <v>689770.24176297849</v>
      </c>
      <c r="J14" s="46">
        <v>767391.84920078213</v>
      </c>
      <c r="K14" s="46">
        <v>806634</v>
      </c>
      <c r="L14" s="46">
        <v>874291</v>
      </c>
      <c r="M14" s="46">
        <v>902988</v>
      </c>
      <c r="N14" s="46">
        <v>1081381.6499999999</v>
      </c>
      <c r="O14" s="46">
        <v>1125297.43</v>
      </c>
      <c r="P14" s="46">
        <v>1296587.77</v>
      </c>
      <c r="Q14" s="46">
        <v>1356910.23</v>
      </c>
      <c r="R14" s="46">
        <v>1372607.33</v>
      </c>
      <c r="S14" s="46">
        <v>1485533.73</v>
      </c>
      <c r="T14" s="268">
        <v>1587574.4878174907</v>
      </c>
      <c r="U14" s="265">
        <v>-47678</v>
      </c>
      <c r="V14" s="262">
        <f t="shared" si="0"/>
        <v>1539896.4878174907</v>
      </c>
      <c r="W14" s="87"/>
      <c r="X14" s="89"/>
      <c r="Y14" s="106"/>
      <c r="Z14" s="107"/>
      <c r="AA14" s="58"/>
      <c r="AB14" s="58"/>
      <c r="AC14" s="58"/>
      <c r="AD14" s="58"/>
      <c r="AE14" s="58"/>
      <c r="AF14" s="58"/>
      <c r="AG14" s="90"/>
      <c r="AH14" s="18"/>
      <c r="AI14" s="26"/>
      <c r="AJ14" s="26"/>
      <c r="AK14" s="26"/>
      <c r="AL14" s="26"/>
      <c r="AM14" s="26"/>
      <c r="AN14" s="26"/>
      <c r="AO14" s="26"/>
      <c r="AP14" s="26"/>
    </row>
    <row r="15" spans="1:42" ht="13.9" thickTop="1" thickBot="1" x14ac:dyDescent="0.45">
      <c r="A15" s="47" t="s">
        <v>12</v>
      </c>
      <c r="B15" s="48">
        <f>SUM(B3:B14)</f>
        <v>5759297.4192476328</v>
      </c>
      <c r="C15" s="48">
        <f t="shared" ref="C15:S15" si="1">SUM(C3:C14)</f>
        <v>6967735.6742039798</v>
      </c>
      <c r="D15" s="48">
        <f t="shared" si="1"/>
        <v>8524990.7328109611</v>
      </c>
      <c r="E15" s="48">
        <f t="shared" si="1"/>
        <v>9817542.9166719932</v>
      </c>
      <c r="F15" s="48">
        <f t="shared" si="1"/>
        <v>8291618.634080248</v>
      </c>
      <c r="G15" s="48">
        <f t="shared" si="1"/>
        <v>7465207.2700247848</v>
      </c>
      <c r="H15" s="48">
        <f t="shared" si="1"/>
        <v>7798115</v>
      </c>
      <c r="I15" s="48">
        <f t="shared" si="1"/>
        <v>8275602.5012786034</v>
      </c>
      <c r="J15" s="48">
        <f t="shared" si="1"/>
        <v>8963676.8492007814</v>
      </c>
      <c r="K15" s="48">
        <f t="shared" si="1"/>
        <v>9533974.9765317347</v>
      </c>
      <c r="L15" s="48">
        <f t="shared" si="1"/>
        <v>10267360.15</v>
      </c>
      <c r="M15" s="48">
        <f t="shared" si="1"/>
        <v>10856002</v>
      </c>
      <c r="N15" s="48">
        <f t="shared" si="1"/>
        <v>10918026.330000002</v>
      </c>
      <c r="O15" s="48">
        <f t="shared" si="1"/>
        <v>11542917.67</v>
      </c>
      <c r="P15" s="48">
        <f t="shared" si="1"/>
        <v>12830998.74</v>
      </c>
      <c r="Q15" s="48">
        <f t="shared" si="1"/>
        <v>13989836.700000003</v>
      </c>
      <c r="R15" s="48">
        <f t="shared" si="1"/>
        <v>14176944.459999999</v>
      </c>
      <c r="S15" s="48">
        <f t="shared" si="1"/>
        <v>14973139.210000001</v>
      </c>
      <c r="T15" s="269">
        <f>SUM(T3:T14)</f>
        <v>16032561.999999998</v>
      </c>
      <c r="U15" s="266">
        <f>SUM(U8:U14)</f>
        <v>-247678</v>
      </c>
      <c r="V15" s="84">
        <f>SUM(V3:V14)</f>
        <v>15784883.999999998</v>
      </c>
      <c r="W15" s="79">
        <f>SUM(W3:W14)</f>
        <v>7906624.3000000007</v>
      </c>
      <c r="X15" s="76">
        <f>SUM(X3:X14)</f>
        <v>75894.257961354917</v>
      </c>
      <c r="Y15" s="105">
        <f>+W15/(V3+V5+V6+V4+V7+V8)</f>
        <v>1.0096918496173313</v>
      </c>
      <c r="Z15" s="60"/>
      <c r="AA15" s="7"/>
      <c r="AB15" s="7"/>
      <c r="AC15" s="7"/>
      <c r="AD15" s="7"/>
      <c r="AE15" s="7"/>
      <c r="AF15" s="7"/>
      <c r="AG15" s="88">
        <f>SUM(AG3:AG14)</f>
        <v>620068.04</v>
      </c>
      <c r="AH15" s="18"/>
      <c r="AI15" s="26"/>
      <c r="AJ15" s="26"/>
      <c r="AK15" s="26"/>
      <c r="AL15" s="26"/>
      <c r="AM15" s="26"/>
      <c r="AN15" s="26"/>
      <c r="AO15" s="26"/>
      <c r="AP15" s="26"/>
    </row>
    <row r="16" spans="1:42" ht="13.5" hidden="1" thickBot="1" x14ac:dyDescent="0.45">
      <c r="A16" s="8" t="s">
        <v>18</v>
      </c>
      <c r="B16" s="9">
        <v>86300000</v>
      </c>
      <c r="C16" s="9">
        <v>102000000</v>
      </c>
      <c r="D16" s="10">
        <v>127000000</v>
      </c>
      <c r="E16" s="10">
        <v>146000000</v>
      </c>
      <c r="F16" s="11"/>
      <c r="G16" s="4"/>
      <c r="H16" s="4"/>
      <c r="I16" s="4"/>
      <c r="K16" s="4"/>
      <c r="L16" s="4"/>
      <c r="M16" s="4"/>
      <c r="Y16" s="49"/>
      <c r="Z16" s="26"/>
      <c r="AG16" s="61"/>
      <c r="AH16" s="260"/>
      <c r="AI16" s="26"/>
      <c r="AJ16" s="26"/>
      <c r="AK16" s="26"/>
      <c r="AL16" s="26"/>
      <c r="AM16" s="26"/>
      <c r="AN16" s="26"/>
      <c r="AO16" s="26"/>
      <c r="AP16" s="26"/>
    </row>
    <row r="17" spans="1:51" ht="13.5" hidden="1" thickBot="1" x14ac:dyDescent="0.45">
      <c r="B17" s="12">
        <f>SUM(B16-B15)</f>
        <v>80540702.580752373</v>
      </c>
      <c r="C17" s="13">
        <f>SUM(C16-C15)</f>
        <v>95032264.325796023</v>
      </c>
      <c r="D17" s="4"/>
      <c r="E17" s="4"/>
      <c r="F17" s="4"/>
      <c r="G17" s="4"/>
      <c r="H17" s="4"/>
      <c r="I17" s="4"/>
      <c r="K17" s="4"/>
      <c r="L17" s="4"/>
      <c r="M17" s="4"/>
      <c r="Y17" s="49"/>
      <c r="Z17" s="26"/>
      <c r="AG17" s="61"/>
      <c r="AH17" s="260"/>
      <c r="AI17" s="26"/>
      <c r="AJ17" s="26"/>
      <c r="AK17" s="26"/>
      <c r="AL17" s="26"/>
      <c r="AM17" s="26"/>
      <c r="AN17" s="26"/>
      <c r="AO17" s="26"/>
      <c r="AP17" s="26"/>
    </row>
    <row r="18" spans="1:51" ht="13.5" hidden="1" thickBot="1" x14ac:dyDescent="0.45">
      <c r="A18" s="2" t="s">
        <v>13</v>
      </c>
      <c r="B18" s="14"/>
      <c r="C18" s="15"/>
      <c r="D18" s="4"/>
      <c r="E18" s="4"/>
      <c r="F18" s="4"/>
      <c r="G18" s="4"/>
      <c r="H18" s="4"/>
      <c r="I18" s="4"/>
      <c r="K18" s="4"/>
      <c r="L18" s="4"/>
      <c r="M18" s="4"/>
      <c r="Y18" s="49"/>
      <c r="Z18" s="26"/>
      <c r="AG18" s="61"/>
      <c r="AH18" s="260"/>
      <c r="AI18" s="26"/>
      <c r="AJ18" s="26"/>
      <c r="AK18" s="26"/>
      <c r="AL18" s="26"/>
      <c r="AM18" s="26"/>
      <c r="AN18" s="26"/>
      <c r="AO18" s="26"/>
      <c r="AP18" s="26"/>
    </row>
    <row r="19" spans="1:51" ht="13.5" hidden="1" thickBot="1" x14ac:dyDescent="0.45">
      <c r="A19" s="2" t="s">
        <v>14</v>
      </c>
      <c r="B19" s="14"/>
      <c r="C19" s="15"/>
      <c r="D19" s="4"/>
      <c r="E19" s="4"/>
      <c r="F19" s="4"/>
      <c r="G19" s="4"/>
      <c r="H19" s="4"/>
      <c r="I19" s="4"/>
      <c r="K19" s="4"/>
      <c r="L19" s="4"/>
      <c r="M19" s="4"/>
      <c r="Y19" s="49"/>
      <c r="Z19" s="26"/>
      <c r="AG19" s="61"/>
      <c r="AH19" s="260"/>
      <c r="AI19" s="26"/>
      <c r="AJ19" s="26"/>
      <c r="AK19" s="26"/>
      <c r="AL19" s="26"/>
      <c r="AM19" s="26"/>
      <c r="AN19" s="26"/>
      <c r="AO19" s="26"/>
      <c r="AP19" s="26"/>
    </row>
    <row r="20" spans="1:51" ht="13.5" hidden="1" thickBot="1" x14ac:dyDescent="0.45">
      <c r="A20" s="2" t="s">
        <v>15</v>
      </c>
      <c r="B20" s="14"/>
      <c r="C20" s="15"/>
      <c r="D20" s="4"/>
      <c r="E20" s="4"/>
      <c r="F20" s="4"/>
      <c r="G20" s="4"/>
      <c r="H20" s="4"/>
      <c r="I20" s="4"/>
      <c r="K20" s="4"/>
      <c r="L20" s="4"/>
      <c r="M20" s="4"/>
      <c r="Y20" s="49"/>
      <c r="Z20" s="26"/>
      <c r="AG20" s="61"/>
      <c r="AH20" s="260"/>
      <c r="AI20" s="26"/>
      <c r="AJ20" s="26"/>
      <c r="AK20" s="26"/>
      <c r="AL20" s="26"/>
      <c r="AM20" s="26"/>
      <c r="AN20" s="26"/>
      <c r="AO20" s="26"/>
      <c r="AP20" s="26"/>
    </row>
    <row r="21" spans="1:51" ht="13.5" hidden="1" thickBot="1" x14ac:dyDescent="0.45">
      <c r="A21" s="2" t="s">
        <v>16</v>
      </c>
      <c r="B21" s="14"/>
      <c r="C21" s="15"/>
      <c r="D21" s="4"/>
      <c r="E21" s="4"/>
      <c r="F21" s="4"/>
      <c r="G21" s="4"/>
      <c r="H21" s="4"/>
      <c r="I21" s="4"/>
      <c r="K21" s="4"/>
      <c r="L21" s="4"/>
      <c r="M21" s="4"/>
      <c r="Y21" s="49"/>
      <c r="Z21" s="26"/>
      <c r="AG21" s="61"/>
      <c r="AH21" s="260"/>
      <c r="AI21" s="26"/>
      <c r="AJ21" s="26"/>
      <c r="AK21" s="26"/>
      <c r="AL21" s="26"/>
      <c r="AM21" s="26"/>
      <c r="AN21" s="26"/>
      <c r="AO21" s="26"/>
      <c r="AP21" s="26"/>
    </row>
    <row r="22" spans="1:51" ht="26.65" hidden="1" thickBot="1" x14ac:dyDescent="0.45">
      <c r="A22" s="16" t="s">
        <v>17</v>
      </c>
      <c r="B22" s="14"/>
      <c r="C22" s="15"/>
      <c r="D22" s="4"/>
      <c r="E22" s="4"/>
      <c r="F22" s="4"/>
      <c r="G22" s="4"/>
      <c r="H22" s="4"/>
      <c r="I22" s="4"/>
      <c r="K22" s="4"/>
      <c r="L22" s="4"/>
      <c r="M22" s="4"/>
      <c r="Y22" s="49"/>
      <c r="Z22" s="26"/>
      <c r="AG22" s="61"/>
      <c r="AH22" s="260"/>
      <c r="AI22" s="26"/>
      <c r="AJ22" s="26"/>
      <c r="AK22" s="26"/>
      <c r="AL22" s="26"/>
      <c r="AM22" s="26"/>
      <c r="AN22" s="26"/>
      <c r="AO22" s="26"/>
      <c r="AP22" s="26"/>
    </row>
    <row r="23" spans="1:51" ht="13.5" hidden="1" thickBot="1" x14ac:dyDescent="0.45">
      <c r="A23" s="2" t="s">
        <v>19</v>
      </c>
      <c r="B23" s="14"/>
      <c r="C23" s="15"/>
      <c r="D23" s="4"/>
      <c r="E23" s="4"/>
      <c r="F23" s="4"/>
      <c r="G23" s="4"/>
      <c r="H23" s="4"/>
      <c r="I23" s="4"/>
      <c r="K23" s="4"/>
      <c r="L23" s="4"/>
      <c r="M23" s="4"/>
      <c r="Y23" s="49"/>
      <c r="Z23" s="26"/>
      <c r="AG23" s="61"/>
      <c r="AH23" s="260"/>
      <c r="AI23" s="26"/>
      <c r="AJ23" s="26"/>
      <c r="AK23" s="26"/>
      <c r="AL23" s="26"/>
      <c r="AM23" s="26"/>
      <c r="AN23" s="26"/>
      <c r="AO23" s="26"/>
      <c r="AP23" s="26"/>
    </row>
    <row r="24" spans="1:51" ht="12.75" hidden="1" customHeight="1" x14ac:dyDescent="0.4">
      <c r="A24" s="16"/>
      <c r="B24" s="14"/>
      <c r="C24" s="15"/>
      <c r="D24" s="4"/>
      <c r="E24" s="4"/>
      <c r="F24" s="4"/>
      <c r="G24" s="4"/>
      <c r="H24" s="4"/>
      <c r="I24" s="4"/>
      <c r="K24" s="4"/>
      <c r="L24" s="4"/>
      <c r="M24" s="4"/>
      <c r="Y24" s="49"/>
      <c r="Z24" s="26"/>
      <c r="AG24" s="61"/>
      <c r="AH24" s="260"/>
      <c r="AI24" s="26"/>
      <c r="AJ24" s="26"/>
      <c r="AK24" s="26"/>
      <c r="AL24" s="26"/>
      <c r="AM24" s="26"/>
      <c r="AN24" s="26"/>
      <c r="AO24" s="26"/>
      <c r="AP24" s="26"/>
    </row>
    <row r="25" spans="1:51" x14ac:dyDescent="0.4">
      <c r="A25" s="17" t="s">
        <v>26</v>
      </c>
      <c r="B25" s="18"/>
      <c r="C25" s="19"/>
      <c r="D25" s="10"/>
      <c r="E25" s="10"/>
      <c r="F25" s="10"/>
      <c r="G25" s="20">
        <v>0.114</v>
      </c>
      <c r="H25" s="20">
        <v>0.114</v>
      </c>
      <c r="I25" s="81">
        <v>0.114</v>
      </c>
      <c r="J25" s="81">
        <v>0.1157</v>
      </c>
      <c r="K25" s="81">
        <v>0.11600000000000001</v>
      </c>
      <c r="L25" s="81">
        <v>0.11600000000000001</v>
      </c>
      <c r="M25" s="81">
        <v>0.11600000000000001</v>
      </c>
      <c r="N25" s="81">
        <v>0.11600000000000001</v>
      </c>
      <c r="O25" s="81">
        <v>0.11600000000000001</v>
      </c>
      <c r="P25" s="81">
        <v>0.11840000000000001</v>
      </c>
      <c r="Q25" s="81">
        <v>0.1193</v>
      </c>
      <c r="R25" s="81">
        <v>0.1196</v>
      </c>
      <c r="S25" s="81">
        <v>0.1196</v>
      </c>
      <c r="T25" s="81"/>
      <c r="U25" s="81"/>
      <c r="V25" s="81">
        <v>0.1196</v>
      </c>
      <c r="W25" s="21"/>
      <c r="X25" s="104">
        <f>+W15/V15</f>
        <v>0.50089847350161087</v>
      </c>
      <c r="Y25" s="100" t="s">
        <v>33</v>
      </c>
      <c r="Z25" s="97"/>
      <c r="AG25" s="62">
        <f>SUM(S3:S8)</f>
        <v>7286556.2599999998</v>
      </c>
      <c r="AH25" s="108">
        <v>2021</v>
      </c>
      <c r="AJ25" s="26"/>
      <c r="AK25" s="26"/>
      <c r="AL25" s="26"/>
      <c r="AM25" s="26"/>
      <c r="AN25" s="26"/>
      <c r="AO25" s="26"/>
      <c r="AP25" s="26"/>
    </row>
    <row r="26" spans="1:51" s="26" customFormat="1" ht="14.25" customHeight="1" thickBot="1" x14ac:dyDescent="0.4">
      <c r="A26" s="318" t="s">
        <v>23</v>
      </c>
      <c r="B26" s="22"/>
      <c r="C26" s="23"/>
      <c r="D26" s="23"/>
      <c r="E26" s="24">
        <f>+E15/D15-100%</f>
        <v>0.15161918931902885</v>
      </c>
      <c r="F26" s="24">
        <f t="shared" ref="F26:R26" si="2">+F15/E15-100%</f>
        <v>-0.15542832820220676</v>
      </c>
      <c r="G26" s="24">
        <f t="shared" si="2"/>
        <v>-9.9668279563503215E-2</v>
      </c>
      <c r="H26" s="24">
        <f t="shared" si="2"/>
        <v>4.4594572921229814E-2</v>
      </c>
      <c r="I26" s="24">
        <f t="shared" si="2"/>
        <v>6.1231143844198588E-2</v>
      </c>
      <c r="J26" s="24">
        <f t="shared" si="2"/>
        <v>8.3144924833674416E-2</v>
      </c>
      <c r="K26" s="24">
        <f t="shared" si="2"/>
        <v>6.3623235969489711E-2</v>
      </c>
      <c r="L26" s="24">
        <f t="shared" si="2"/>
        <v>7.6923337356509025E-2</v>
      </c>
      <c r="M26" s="24">
        <f t="shared" si="2"/>
        <v>5.7331372563180105E-2</v>
      </c>
      <c r="N26" s="24">
        <f t="shared" si="2"/>
        <v>5.7133675914946558E-3</v>
      </c>
      <c r="O26" s="24">
        <f t="shared" si="2"/>
        <v>5.7234826250872173E-2</v>
      </c>
      <c r="P26" s="24">
        <f t="shared" si="2"/>
        <v>0.11159059666064475</v>
      </c>
      <c r="Q26" s="24">
        <f t="shared" si="2"/>
        <v>9.0315491684009208E-2</v>
      </c>
      <c r="R26" s="103">
        <f t="shared" si="2"/>
        <v>1.3374549254030699E-2</v>
      </c>
      <c r="S26" s="103">
        <f>+S15/R15-100%</f>
        <v>5.6161237863804336E-2</v>
      </c>
      <c r="T26" s="103"/>
      <c r="U26" s="103"/>
      <c r="V26" s="103">
        <f>+V15/S15-100%</f>
        <v>5.421340031740729E-2</v>
      </c>
      <c r="W26" s="99"/>
      <c r="X26" s="102" t="s">
        <v>34</v>
      </c>
      <c r="Y26" s="101" t="s">
        <v>31</v>
      </c>
      <c r="Z26" s="97"/>
      <c r="AG26" s="63">
        <f>SUM(W3:W14)</f>
        <v>7906624.3000000007</v>
      </c>
      <c r="AH26" s="108">
        <v>2022</v>
      </c>
    </row>
    <row r="27" spans="1:51" s="26" customFormat="1" ht="18" customHeight="1" thickBot="1" x14ac:dyDescent="0.45">
      <c r="A27" s="319"/>
      <c r="B27" s="25"/>
      <c r="C27" s="22"/>
      <c r="D27" s="22"/>
      <c r="E27" s="27">
        <f>+E15-D15</f>
        <v>1292552.1838610321</v>
      </c>
      <c r="F27" s="27">
        <f t="shared" ref="F27:R27" si="3">+F15-E15</f>
        <v>-1525924.2825917453</v>
      </c>
      <c r="G27" s="27">
        <f t="shared" si="3"/>
        <v>-826411.36405546311</v>
      </c>
      <c r="H27" s="27">
        <f t="shared" si="3"/>
        <v>332907.72997521516</v>
      </c>
      <c r="I27" s="27">
        <f t="shared" si="3"/>
        <v>477487.50127860345</v>
      </c>
      <c r="J27" s="27">
        <f t="shared" si="3"/>
        <v>688074.34792217799</v>
      </c>
      <c r="K27" s="27">
        <f t="shared" si="3"/>
        <v>570298.12733095326</v>
      </c>
      <c r="L27" s="27">
        <f t="shared" si="3"/>
        <v>733385.17346826568</v>
      </c>
      <c r="M27" s="27">
        <f t="shared" si="3"/>
        <v>588641.84999999963</v>
      </c>
      <c r="N27" s="27">
        <f t="shared" si="3"/>
        <v>62024.330000001937</v>
      </c>
      <c r="O27" s="27">
        <f t="shared" si="3"/>
        <v>624891.33999999799</v>
      </c>
      <c r="P27" s="27">
        <f t="shared" si="3"/>
        <v>1288081.0700000003</v>
      </c>
      <c r="Q27" s="27">
        <f t="shared" si="3"/>
        <v>1158837.9600000028</v>
      </c>
      <c r="R27" s="27">
        <f t="shared" si="3"/>
        <v>187107.75999999605</v>
      </c>
      <c r="S27" s="27">
        <f>+S15-R15</f>
        <v>796194.75000000186</v>
      </c>
      <c r="T27" s="27"/>
      <c r="U27" s="27"/>
      <c r="V27" s="27">
        <f>+V15-S15</f>
        <v>811744.78999999724</v>
      </c>
      <c r="W27" s="65"/>
      <c r="X27" s="96"/>
      <c r="Y27" s="98" t="s">
        <v>32</v>
      </c>
      <c r="Z27" s="97"/>
      <c r="AG27" s="110">
        <f>+AG26/AG25-100%</f>
        <v>8.5097543733231307E-2</v>
      </c>
      <c r="AH27" s="2"/>
    </row>
    <row r="28" spans="1:51" s="29" customFormat="1" ht="35.25" customHeight="1" thickBot="1" x14ac:dyDescent="0.45">
      <c r="A28" s="17" t="s">
        <v>20</v>
      </c>
      <c r="B28" s="28">
        <f t="shared" ref="B28:E28" si="4">AVERAGE(B3:B14)</f>
        <v>479941.45160396938</v>
      </c>
      <c r="C28" s="28">
        <f t="shared" si="4"/>
        <v>580644.63951699832</v>
      </c>
      <c r="D28" s="28">
        <f t="shared" si="4"/>
        <v>710415.89440091338</v>
      </c>
      <c r="E28" s="28">
        <f t="shared" si="4"/>
        <v>818128.57638933277</v>
      </c>
      <c r="F28" s="28">
        <f>AVERAGE(F3:F14)</f>
        <v>690968.21950668737</v>
      </c>
      <c r="G28" s="28">
        <f t="shared" ref="G28:R28" si="5">AVERAGE(G3:G14)</f>
        <v>622100.60583539878</v>
      </c>
      <c r="H28" s="28">
        <f t="shared" si="5"/>
        <v>649842.91666666663</v>
      </c>
      <c r="I28" s="28">
        <f t="shared" si="5"/>
        <v>689633.54177321692</v>
      </c>
      <c r="J28" s="28">
        <f t="shared" si="5"/>
        <v>746973.07076673175</v>
      </c>
      <c r="K28" s="28">
        <f t="shared" si="5"/>
        <v>794497.91471097793</v>
      </c>
      <c r="L28" s="28">
        <f t="shared" si="5"/>
        <v>855613.34583333333</v>
      </c>
      <c r="M28" s="28">
        <f t="shared" si="5"/>
        <v>904666.83333333337</v>
      </c>
      <c r="N28" s="28">
        <f t="shared" si="5"/>
        <v>909835.5275000002</v>
      </c>
      <c r="O28" s="28">
        <f t="shared" si="5"/>
        <v>961909.80583333329</v>
      </c>
      <c r="P28" s="28">
        <f t="shared" si="5"/>
        <v>1069249.895</v>
      </c>
      <c r="Q28" s="28">
        <f t="shared" si="5"/>
        <v>1165819.7250000003</v>
      </c>
      <c r="R28" s="28">
        <f t="shared" si="5"/>
        <v>1181412.0383333333</v>
      </c>
      <c r="S28" s="28">
        <f>AVERAGE(S3:S14)</f>
        <v>1247761.6008333333</v>
      </c>
      <c r="T28" s="28"/>
      <c r="U28" s="28"/>
      <c r="V28" s="28">
        <f>AVERAGE(V3:V14)</f>
        <v>1315406.9999999998</v>
      </c>
      <c r="W28" s="66"/>
      <c r="X28" s="25"/>
      <c r="Y28" s="82"/>
      <c r="Z28" s="83"/>
      <c r="AG28" s="109" t="s">
        <v>161</v>
      </c>
      <c r="AH28" s="2"/>
      <c r="AI28" s="52" t="s">
        <v>28</v>
      </c>
      <c r="AJ28" s="33">
        <v>2008</v>
      </c>
      <c r="AK28" s="33">
        <v>2009</v>
      </c>
      <c r="AL28" s="33">
        <v>2010</v>
      </c>
      <c r="AM28" s="33">
        <v>2011</v>
      </c>
      <c r="AN28" s="33">
        <v>2012</v>
      </c>
      <c r="AO28" s="34">
        <v>2013</v>
      </c>
      <c r="AP28" s="33">
        <v>2014</v>
      </c>
      <c r="AQ28" s="34">
        <v>2015</v>
      </c>
      <c r="AR28" s="34">
        <v>2016</v>
      </c>
      <c r="AS28" s="34">
        <v>2017</v>
      </c>
      <c r="AT28" s="34">
        <v>2018</v>
      </c>
      <c r="AU28" s="34">
        <v>2019</v>
      </c>
      <c r="AV28" s="34">
        <v>2020</v>
      </c>
      <c r="AW28" s="34">
        <v>2021</v>
      </c>
      <c r="AX28" s="34">
        <v>2022</v>
      </c>
      <c r="AY28" s="53" t="s">
        <v>141</v>
      </c>
    </row>
    <row r="29" spans="1:51" ht="27" customHeight="1" x14ac:dyDescent="0.4">
      <c r="I29" s="4" t="s">
        <v>27</v>
      </c>
      <c r="O29" s="31"/>
      <c r="P29" s="31"/>
      <c r="Q29" s="31"/>
      <c r="R29" s="31"/>
      <c r="S29" s="31"/>
      <c r="T29" s="31"/>
      <c r="U29" s="31"/>
      <c r="V29" s="31"/>
      <c r="W29" s="31"/>
      <c r="AI29" s="52" t="s">
        <v>21</v>
      </c>
      <c r="AJ29" s="35">
        <v>9817542.9166719932</v>
      </c>
      <c r="AK29" s="35">
        <v>8291618.634080248</v>
      </c>
      <c r="AL29" s="35">
        <v>7465207.2700247848</v>
      </c>
      <c r="AM29" s="36">
        <v>7798115</v>
      </c>
      <c r="AN29" s="36">
        <v>8275602.5012786034</v>
      </c>
      <c r="AO29" s="36">
        <v>8963676.8492007814</v>
      </c>
      <c r="AP29" s="36">
        <v>9533974.9765317347</v>
      </c>
      <c r="AQ29" s="36">
        <v>10267360.15</v>
      </c>
      <c r="AR29" s="36">
        <v>10856002</v>
      </c>
      <c r="AS29" s="36">
        <v>11542917.67</v>
      </c>
      <c r="AT29" s="36">
        <v>12830998.74</v>
      </c>
      <c r="AU29" s="36">
        <v>13989836.700000003</v>
      </c>
      <c r="AV29" s="36">
        <f>+R15</f>
        <v>14176944.459999999</v>
      </c>
      <c r="AW29" s="36">
        <f>+S15</f>
        <v>14973139.210000001</v>
      </c>
      <c r="AX29" s="36">
        <v>15784884</v>
      </c>
      <c r="AY29" s="95">
        <f>+AX29/AW29-100%</f>
        <v>5.421340031740729E-2</v>
      </c>
    </row>
    <row r="30" spans="1:51" x14ac:dyDescent="0.4">
      <c r="B30" s="30">
        <f>B10/B9*100</f>
        <v>86.908204133895921</v>
      </c>
      <c r="C30" s="30">
        <f t="shared" ref="C30:D31" si="6">C10/C9*100</f>
        <v>85.40805951159652</v>
      </c>
      <c r="D30" s="30">
        <f t="shared" si="6"/>
        <v>69.993208402064226</v>
      </c>
      <c r="E30" s="30"/>
      <c r="F30" s="30"/>
      <c r="U30" s="31"/>
      <c r="V30" s="31"/>
      <c r="AI30" s="32" t="s">
        <v>29</v>
      </c>
      <c r="AJ30" s="35">
        <v>8826</v>
      </c>
      <c r="AK30" s="35">
        <v>8170</v>
      </c>
      <c r="AL30" s="35">
        <v>7728</v>
      </c>
      <c r="AM30" s="36">
        <v>7669</v>
      </c>
      <c r="AN30" s="36">
        <v>7746</v>
      </c>
      <c r="AO30" s="36">
        <v>7770</v>
      </c>
      <c r="AP30" s="36">
        <v>7715</v>
      </c>
      <c r="AQ30" s="36">
        <v>7879</v>
      </c>
      <c r="AR30" s="36">
        <v>7836</v>
      </c>
      <c r="AS30" s="36">
        <v>7835</v>
      </c>
      <c r="AT30" s="36">
        <v>7825</v>
      </c>
      <c r="AU30" s="36">
        <v>7890</v>
      </c>
      <c r="AV30" s="36">
        <v>7670</v>
      </c>
      <c r="AW30" s="36">
        <v>7648</v>
      </c>
      <c r="AX30" s="36">
        <v>7625</v>
      </c>
      <c r="AY30" s="2" t="s">
        <v>35</v>
      </c>
    </row>
    <row r="31" spans="1:51" x14ac:dyDescent="0.4">
      <c r="B31" s="30">
        <f>B11/B10*100</f>
        <v>92.219636659699887</v>
      </c>
      <c r="C31" s="30">
        <f t="shared" si="6"/>
        <v>89.668374377786805</v>
      </c>
      <c r="D31" s="30">
        <f t="shared" si="6"/>
        <v>96.612704796903145</v>
      </c>
      <c r="E31" s="30"/>
      <c r="F31" s="30"/>
      <c r="AI31" s="32" t="s">
        <v>30</v>
      </c>
      <c r="AJ31" s="35">
        <v>767.20122569362741</v>
      </c>
      <c r="AK31" s="35">
        <v>716.82359101555664</v>
      </c>
      <c r="AL31" s="35">
        <v>699.17420347207963</v>
      </c>
      <c r="AM31" s="36">
        <v>733.37629851784243</v>
      </c>
      <c r="AN31" s="36">
        <v>769</v>
      </c>
      <c r="AO31" s="36">
        <v>819</v>
      </c>
      <c r="AP31" s="36">
        <v>870</v>
      </c>
      <c r="AQ31" s="36">
        <v>927</v>
      </c>
      <c r="AR31" s="36">
        <v>979</v>
      </c>
      <c r="AS31" s="36">
        <v>1043</v>
      </c>
      <c r="AT31" s="36">
        <v>1127</v>
      </c>
      <c r="AU31" s="36">
        <v>1265</v>
      </c>
      <c r="AV31" s="36">
        <v>1260</v>
      </c>
      <c r="AW31" s="36">
        <v>1322</v>
      </c>
      <c r="AX31" s="36">
        <v>1400</v>
      </c>
      <c r="AY31" s="2" t="s">
        <v>35</v>
      </c>
    </row>
    <row r="32" spans="1:51" x14ac:dyDescent="0.4">
      <c r="Z32" s="31"/>
      <c r="AG32" s="21"/>
      <c r="AH32" s="21"/>
    </row>
    <row r="33" spans="5:52" ht="20.25" customHeight="1" x14ac:dyDescent="0.4">
      <c r="Z33" s="31"/>
    </row>
    <row r="34" spans="5:52" ht="20.25" customHeight="1" x14ac:dyDescent="0.4">
      <c r="Z34" s="31"/>
    </row>
    <row r="35" spans="5:52" ht="20.25" customHeight="1" x14ac:dyDescent="0.4">
      <c r="Z35" s="31"/>
      <c r="AZ35" s="64"/>
    </row>
    <row r="36" spans="5:52" ht="20.25" customHeight="1" x14ac:dyDescent="0.4">
      <c r="Z36" s="31"/>
      <c r="AG36" s="31"/>
      <c r="AH36" s="31"/>
      <c r="AI36" s="31"/>
      <c r="AZ36" s="64"/>
    </row>
    <row r="37" spans="5:52" x14ac:dyDescent="0.4">
      <c r="Z37" s="31"/>
      <c r="AZ37" s="64"/>
    </row>
    <row r="38" spans="5:52" x14ac:dyDescent="0.4">
      <c r="Z38" s="31"/>
      <c r="AZ38" s="64"/>
    </row>
    <row r="39" spans="5:52" x14ac:dyDescent="0.4">
      <c r="Z39" s="31"/>
      <c r="AZ39" s="64"/>
    </row>
    <row r="40" spans="5:52" x14ac:dyDescent="0.4">
      <c r="Z40" s="31"/>
      <c r="AZ40" s="64"/>
    </row>
    <row r="41" spans="5:52" x14ac:dyDescent="0.4">
      <c r="Z41" s="31"/>
      <c r="AZ41" s="64"/>
    </row>
    <row r="42" spans="5:52" x14ac:dyDescent="0.4">
      <c r="Z42" s="31"/>
      <c r="AG42" s="2" t="s">
        <v>22</v>
      </c>
    </row>
    <row r="43" spans="5:52" x14ac:dyDescent="0.4">
      <c r="Z43" s="31"/>
    </row>
    <row r="44" spans="5:52" x14ac:dyDescent="0.4">
      <c r="F44" s="31"/>
      <c r="Z44" s="31"/>
    </row>
    <row r="45" spans="5:52" x14ac:dyDescent="0.4">
      <c r="E45" s="31"/>
      <c r="F45" s="31"/>
      <c r="Z45" s="31"/>
    </row>
    <row r="47" spans="5:52" x14ac:dyDescent="0.4">
      <c r="E47" s="30"/>
      <c r="F47" s="30"/>
    </row>
    <row r="48" spans="5:52" x14ac:dyDescent="0.4">
      <c r="E48" s="30"/>
      <c r="F48" s="30"/>
    </row>
    <row r="49" spans="5:36" x14ac:dyDescent="0.4">
      <c r="E49" s="30"/>
      <c r="F49" s="30"/>
    </row>
    <row r="59" spans="5:36" x14ac:dyDescent="0.4">
      <c r="AJ59" s="2" t="s">
        <v>22</v>
      </c>
    </row>
  </sheetData>
  <mergeCells count="1">
    <mergeCell ref="A26:A27"/>
  </mergeCells>
  <pageMargins left="0.39370078740157483" right="0.19685039370078741" top="0.35433070866141736" bottom="0.27559055118110237" header="0.27559055118110237" footer="0.19685039370078741"/>
  <pageSetup paperSize="9" scale="79" fitToWidth="2" orientation="landscape" r:id="rId1"/>
  <headerFooter alignWithMargins="0"/>
  <colBreaks count="1" manualBreakCount="1">
    <brk id="34" max="55" man="1"/>
  </colBreaks>
  <ignoredErrors>
    <ignoredError sqref="B28:R28 B15:R1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N79"/>
  <sheetViews>
    <sheetView zoomScale="115" zoomScaleNormal="115" workbookViewId="0">
      <pane xSplit="1" ySplit="3" topLeftCell="Q4" activePane="bottomRight" state="frozen"/>
      <selection activeCell="H42" sqref="H42"/>
      <selection pane="topRight" activeCell="H42" sqref="H42"/>
      <selection pane="bottomLeft" activeCell="H42" sqref="H42"/>
      <selection pane="bottomRight" activeCell="AO63" sqref="AO63"/>
    </sheetView>
  </sheetViews>
  <sheetFormatPr defaultColWidth="9.1328125" defaultRowHeight="12.75" outlineLevelCol="1" x14ac:dyDescent="0.35"/>
  <cols>
    <col min="1" max="1" width="32.6640625" style="112" customWidth="1"/>
    <col min="2" max="2" width="10.59765625" style="112" hidden="1" customWidth="1" outlineLevel="1"/>
    <col min="3" max="3" width="10.3984375" style="112" hidden="1" customWidth="1" outlineLevel="1"/>
    <col min="4" max="4" width="11" style="112" hidden="1" customWidth="1" outlineLevel="1"/>
    <col min="5" max="6" width="9.86328125" style="112" hidden="1" customWidth="1"/>
    <col min="7" max="13" width="10.86328125" style="112" hidden="1" customWidth="1"/>
    <col min="14" max="15" width="13" style="112" hidden="1" customWidth="1"/>
    <col min="16" max="16" width="11.86328125" style="112" hidden="1" customWidth="1"/>
    <col min="17" max="19" width="12.6640625" style="112" customWidth="1"/>
    <col min="20" max="21" width="12" style="112" customWidth="1"/>
    <col min="22" max="22" width="12.6640625" style="112" hidden="1" customWidth="1"/>
    <col min="23" max="28" width="12" style="112" hidden="1" customWidth="1"/>
    <col min="29" max="34" width="12.1328125" style="112" hidden="1" customWidth="1"/>
    <col min="35" max="36" width="0" style="112" hidden="1" customWidth="1"/>
    <col min="37" max="37" width="1.86328125" style="112" customWidth="1"/>
    <col min="38" max="38" width="12.1328125" style="112" customWidth="1"/>
    <col min="39" max="39" width="13.73046875" style="112" customWidth="1"/>
    <col min="40" max="16384" width="9.1328125" style="112"/>
  </cols>
  <sheetData>
    <row r="1" spans="1:38" ht="15" hidden="1" x14ac:dyDescent="0.4">
      <c r="A1" s="111" t="s">
        <v>43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38" hidden="1" x14ac:dyDescent="0.35"/>
    <row r="3" spans="1:38" s="116" customFormat="1" ht="26.25" hidden="1" customHeight="1" thickBot="1" x14ac:dyDescent="0.4">
      <c r="A3" s="113" t="s">
        <v>44</v>
      </c>
      <c r="B3" s="114">
        <f t="shared" ref="B3:H3" si="0">C3-1</f>
        <v>2003</v>
      </c>
      <c r="C3" s="114">
        <f t="shared" si="0"/>
        <v>2004</v>
      </c>
      <c r="D3" s="114">
        <f t="shared" si="0"/>
        <v>2005</v>
      </c>
      <c r="E3" s="114">
        <f t="shared" si="0"/>
        <v>2006</v>
      </c>
      <c r="F3" s="114">
        <f t="shared" si="0"/>
        <v>2007</v>
      </c>
      <c r="G3" s="114">
        <f t="shared" si="0"/>
        <v>2008</v>
      </c>
      <c r="H3" s="114">
        <f t="shared" si="0"/>
        <v>2009</v>
      </c>
      <c r="I3" s="114">
        <v>2010</v>
      </c>
      <c r="J3" s="114">
        <v>2011</v>
      </c>
      <c r="K3" s="114">
        <v>2012</v>
      </c>
      <c r="L3" s="114">
        <v>2013</v>
      </c>
      <c r="M3" s="114">
        <v>2014</v>
      </c>
      <c r="N3" s="114">
        <v>2015</v>
      </c>
      <c r="O3" s="114">
        <v>2016</v>
      </c>
      <c r="P3" s="114">
        <v>2017</v>
      </c>
      <c r="Q3" s="114">
        <v>2018</v>
      </c>
      <c r="R3" s="115" t="s">
        <v>45</v>
      </c>
      <c r="S3" s="115"/>
      <c r="T3" s="115"/>
      <c r="U3" s="115" t="s">
        <v>46</v>
      </c>
      <c r="V3" s="114">
        <v>2021</v>
      </c>
      <c r="W3" s="114">
        <v>2022</v>
      </c>
      <c r="X3" s="114">
        <v>2023</v>
      </c>
      <c r="Y3" s="114">
        <v>2024</v>
      </c>
      <c r="Z3" s="114">
        <v>2025</v>
      </c>
    </row>
    <row r="4" spans="1:38" s="116" customFormat="1" ht="12" hidden="1" customHeight="1" x14ac:dyDescent="0.35">
      <c r="A4" s="117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38" ht="15.4" hidden="1" x14ac:dyDescent="0.45">
      <c r="A5" s="119" t="s">
        <v>47</v>
      </c>
      <c r="B5" s="120">
        <v>8675</v>
      </c>
      <c r="C5" s="120">
        <v>8740</v>
      </c>
      <c r="D5" s="119">
        <v>8744</v>
      </c>
      <c r="E5" s="119">
        <v>8897</v>
      </c>
      <c r="F5" s="119">
        <v>8980</v>
      </c>
      <c r="G5" s="119">
        <v>8826</v>
      </c>
      <c r="H5" s="119">
        <v>8170</v>
      </c>
      <c r="I5" s="119">
        <v>7728</v>
      </c>
      <c r="J5" s="119">
        <v>7669</v>
      </c>
      <c r="K5" s="119">
        <v>7746</v>
      </c>
      <c r="L5" s="119">
        <v>7797</v>
      </c>
      <c r="M5" s="119">
        <v>7700</v>
      </c>
      <c r="N5" s="119">
        <v>7890</v>
      </c>
      <c r="O5" s="119">
        <v>7836</v>
      </c>
      <c r="P5" s="119">
        <v>7835</v>
      </c>
      <c r="Q5" s="119">
        <v>7825</v>
      </c>
      <c r="R5" s="119">
        <v>7890</v>
      </c>
      <c r="S5" s="119"/>
      <c r="T5" s="119"/>
      <c r="U5" s="119">
        <v>7890</v>
      </c>
      <c r="V5" s="119">
        <v>7890</v>
      </c>
      <c r="W5" s="119">
        <v>7890</v>
      </c>
      <c r="X5" s="119">
        <v>7890</v>
      </c>
      <c r="Y5" s="119">
        <v>7890</v>
      </c>
      <c r="Z5" s="119">
        <v>7890</v>
      </c>
      <c r="AA5" s="121">
        <v>1</v>
      </c>
      <c r="AB5" s="122" t="s">
        <v>48</v>
      </c>
      <c r="AC5" s="121"/>
      <c r="AG5" s="320" t="s">
        <v>49</v>
      </c>
      <c r="AH5" s="321"/>
      <c r="AI5" s="321"/>
      <c r="AJ5" s="321"/>
      <c r="AK5" s="321"/>
      <c r="AL5" s="321"/>
    </row>
    <row r="6" spans="1:38" ht="105.4" hidden="1" x14ac:dyDescent="0.45">
      <c r="A6" s="123" t="s">
        <v>50</v>
      </c>
      <c r="B6" s="123"/>
      <c r="C6" s="124">
        <f t="shared" ref="C6:I6" si="1">(C5-B5)/B5</f>
        <v>7.492795389048991E-3</v>
      </c>
      <c r="D6" s="124">
        <f t="shared" si="1"/>
        <v>4.5766590389016021E-4</v>
      </c>
      <c r="E6" s="124">
        <f t="shared" si="1"/>
        <v>1.7497712717291856E-2</v>
      </c>
      <c r="F6" s="124">
        <f t="shared" si="1"/>
        <v>9.3289872990895816E-3</v>
      </c>
      <c r="G6" s="124">
        <f t="shared" si="1"/>
        <v>-1.7149220489977728E-2</v>
      </c>
      <c r="H6" s="124">
        <f t="shared" si="1"/>
        <v>-7.4325855427147064E-2</v>
      </c>
      <c r="I6" s="124">
        <f t="shared" si="1"/>
        <v>-5.4100367197062425E-2</v>
      </c>
      <c r="J6" s="124">
        <f>(J5-I5)/I5</f>
        <v>-7.634575569358178E-3</v>
      </c>
      <c r="K6" s="124">
        <f>(K5-J5)/J5</f>
        <v>1.0040422480114749E-2</v>
      </c>
      <c r="L6" s="124">
        <f t="shared" ref="L6:V6" si="2">(L5-K5)/K5</f>
        <v>6.5840433772269558E-3</v>
      </c>
      <c r="M6" s="124">
        <f t="shared" si="2"/>
        <v>-1.2440682313710401E-2</v>
      </c>
      <c r="N6" s="124">
        <f>(N5-M5)/M5</f>
        <v>2.4675324675324677E-2</v>
      </c>
      <c r="O6" s="125">
        <f>(O5-N5)/N5</f>
        <v>-6.8441064638783272E-3</v>
      </c>
      <c r="P6" s="125">
        <f t="shared" si="2"/>
        <v>-1.2761613067891782E-4</v>
      </c>
      <c r="Q6" s="125">
        <f t="shared" si="2"/>
        <v>-1.2763241863433313E-3</v>
      </c>
      <c r="R6" s="124">
        <f t="shared" si="2"/>
        <v>8.3067092651757189E-3</v>
      </c>
      <c r="S6" s="124"/>
      <c r="T6" s="124"/>
      <c r="U6" s="124">
        <f>(U5-R5)/R5</f>
        <v>0</v>
      </c>
      <c r="V6" s="124">
        <f t="shared" si="2"/>
        <v>0</v>
      </c>
      <c r="W6" s="124">
        <f>(W5-V5)/V5</f>
        <v>0</v>
      </c>
      <c r="X6" s="124">
        <f>(X5-W5)/W5</f>
        <v>0</v>
      </c>
      <c r="Y6" s="124">
        <f>(Y5-X5)/X5</f>
        <v>0</v>
      </c>
      <c r="Z6" s="124">
        <f>(Z5-Y5)/Y5</f>
        <v>0</v>
      </c>
      <c r="AG6" s="126" t="s">
        <v>51</v>
      </c>
      <c r="AH6" s="126" t="s">
        <v>52</v>
      </c>
      <c r="AI6" s="127" t="s">
        <v>53</v>
      </c>
      <c r="AJ6" s="126" t="s">
        <v>54</v>
      </c>
      <c r="AK6" s="126" t="s">
        <v>55</v>
      </c>
      <c r="AL6" s="126" t="s">
        <v>56</v>
      </c>
    </row>
    <row r="7" spans="1:38" ht="15.4" hidden="1" x14ac:dyDescent="0.45">
      <c r="A7" s="123" t="s">
        <v>57</v>
      </c>
      <c r="B7" s="123">
        <v>40351611</v>
      </c>
      <c r="C7" s="123">
        <v>44619420</v>
      </c>
      <c r="D7" s="123">
        <v>49834590.518067829</v>
      </c>
      <c r="E7" s="123">
        <v>59127518.949803799</v>
      </c>
      <c r="F7" s="123">
        <v>71969718.085718304</v>
      </c>
      <c r="G7" s="123">
        <v>81255816.215663463</v>
      </c>
      <c r="H7" s="123">
        <v>70277384.86316517</v>
      </c>
      <c r="I7" s="123">
        <v>64838618.933186769</v>
      </c>
      <c r="J7" s="123">
        <v>67491154</v>
      </c>
      <c r="K7" s="123">
        <f t="shared" ref="K7:U7" si="3">K9*K5*12</f>
        <v>72593011.591199994</v>
      </c>
      <c r="L7" s="123">
        <f t="shared" si="3"/>
        <v>77473448.054999992</v>
      </c>
      <c r="M7" s="123">
        <f t="shared" si="3"/>
        <v>82189438.716000006</v>
      </c>
      <c r="N7" s="123">
        <f t="shared" si="3"/>
        <v>88525800</v>
      </c>
      <c r="O7" s="123">
        <f t="shared" si="3"/>
        <v>92941228.799999997</v>
      </c>
      <c r="P7" s="123">
        <f t="shared" si="3"/>
        <v>98062860</v>
      </c>
      <c r="Q7" s="123">
        <f>Q9*Q5*12</f>
        <v>107295647.23500001</v>
      </c>
      <c r="R7" s="123">
        <f>R9*R5*12</f>
        <v>119781313.30364093</v>
      </c>
      <c r="S7" s="123"/>
      <c r="T7" s="123"/>
      <c r="U7" s="123">
        <f t="shared" si="3"/>
        <v>127216139.42039794</v>
      </c>
      <c r="V7" s="123">
        <f>V9*V5*12</f>
        <v>134681182.4815869</v>
      </c>
      <c r="W7" s="123">
        <f>W9*W5*12</f>
        <v>142759359.80683246</v>
      </c>
      <c r="X7" s="123">
        <f>X9*X5*12</f>
        <v>149895329.16613677</v>
      </c>
      <c r="Y7" s="123">
        <f>Y9*Y5*12</f>
        <v>157387697.29917699</v>
      </c>
      <c r="Z7" s="123">
        <f>Z9*Z5*12</f>
        <v>165255036.12407094</v>
      </c>
      <c r="AG7" s="128">
        <v>1265</v>
      </c>
      <c r="AH7" s="128">
        <v>2257</v>
      </c>
      <c r="AI7" s="128">
        <v>1762</v>
      </c>
      <c r="AJ7" s="128">
        <v>9531</v>
      </c>
      <c r="AK7" s="128">
        <v>4039</v>
      </c>
      <c r="AL7" s="128">
        <v>17092</v>
      </c>
    </row>
    <row r="8" spans="1:38" ht="15.4" hidden="1" x14ac:dyDescent="0.45">
      <c r="A8" s="129"/>
      <c r="B8" s="129"/>
      <c r="C8" s="129"/>
      <c r="D8" s="129"/>
      <c r="E8" s="129"/>
      <c r="F8" s="129"/>
      <c r="G8" s="130"/>
      <c r="H8" s="130"/>
      <c r="I8" s="130"/>
      <c r="J8" s="130"/>
      <c r="K8" s="130"/>
      <c r="L8" s="131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G8" s="128"/>
      <c r="AH8" s="128"/>
      <c r="AI8" s="128"/>
      <c r="AJ8" s="128"/>
      <c r="AK8" s="128"/>
      <c r="AL8" s="128"/>
    </row>
    <row r="9" spans="1:38" ht="17.25" hidden="1" customHeight="1" x14ac:dyDescent="0.45">
      <c r="A9" s="133" t="s">
        <v>58</v>
      </c>
      <c r="B9" s="133">
        <f>B7/B5/12</f>
        <v>387.62354466858784</v>
      </c>
      <c r="C9" s="133">
        <f t="shared" ref="C9:J9" si="4">C7/C5/12</f>
        <v>425.43306636155603</v>
      </c>
      <c r="D9" s="133">
        <f t="shared" si="4"/>
        <v>474.94082149729178</v>
      </c>
      <c r="E9" s="133">
        <f t="shared" si="4"/>
        <v>553.81513384477728</v>
      </c>
      <c r="F9" s="133">
        <f t="shared" si="4"/>
        <v>667.87043509389662</v>
      </c>
      <c r="G9" s="133">
        <f t="shared" si="4"/>
        <v>767.20122569362741</v>
      </c>
      <c r="H9" s="133">
        <f t="shared" si="4"/>
        <v>716.82359101555664</v>
      </c>
      <c r="I9" s="133">
        <f>I7/I5/12</f>
        <v>699.17420347207963</v>
      </c>
      <c r="J9" s="133">
        <f t="shared" si="4"/>
        <v>733.37629851784243</v>
      </c>
      <c r="K9" s="133">
        <v>780.97310000000004</v>
      </c>
      <c r="L9" s="133">
        <v>828.02625</v>
      </c>
      <c r="M9" s="133">
        <v>889.49608999999998</v>
      </c>
      <c r="N9" s="133">
        <v>935</v>
      </c>
      <c r="O9" s="133">
        <v>988.4</v>
      </c>
      <c r="P9" s="133">
        <v>1043</v>
      </c>
      <c r="Q9" s="133">
        <f>+P9*1.09555</f>
        <v>1142.6586500000001</v>
      </c>
      <c r="R9" s="133">
        <f>+Q9*1.10717</f>
        <v>1265.1173775205</v>
      </c>
      <c r="S9" s="133"/>
      <c r="T9" s="133"/>
      <c r="U9" s="133">
        <f>+R9*1.06207</f>
        <v>1343.6432131431975</v>
      </c>
      <c r="V9" s="133">
        <f>+U9*1.05868</f>
        <v>1422.4881968904403</v>
      </c>
      <c r="W9" s="133">
        <f>+V9*1.05998</f>
        <v>1507.8090389399288</v>
      </c>
      <c r="X9" s="133">
        <f>+W9*1.049986</f>
        <v>1583.1783815603801</v>
      </c>
      <c r="Y9" s="133">
        <f>+X9*1.049984</f>
        <v>1662.3119697842942</v>
      </c>
      <c r="Z9" s="133">
        <f>+Y9*1.049987</f>
        <v>1745.4059582179018</v>
      </c>
      <c r="AG9" s="322" t="s">
        <v>59</v>
      </c>
      <c r="AH9" s="323"/>
      <c r="AI9" s="323"/>
      <c r="AJ9" s="323"/>
      <c r="AK9" s="323"/>
      <c r="AL9" s="323"/>
    </row>
    <row r="10" spans="1:38" ht="15.4" hidden="1" x14ac:dyDescent="0.45">
      <c r="A10" s="129" t="s">
        <v>60</v>
      </c>
      <c r="B10" s="134"/>
      <c r="C10" s="135">
        <f t="shared" ref="C10:V10" si="5">(C9-B9)/B9</f>
        <v>9.7541860428769223E-2</v>
      </c>
      <c r="D10" s="135">
        <f t="shared" si="5"/>
        <v>0.11637025668724438</v>
      </c>
      <c r="E10" s="135">
        <f t="shared" si="5"/>
        <v>0.16607187417334954</v>
      </c>
      <c r="F10" s="135">
        <f t="shared" si="5"/>
        <v>0.20594471743180395</v>
      </c>
      <c r="G10" s="135">
        <f t="shared" si="5"/>
        <v>0.14872763545187589</v>
      </c>
      <c r="H10" s="135">
        <f t="shared" si="5"/>
        <v>-6.5664173871104403E-2</v>
      </c>
      <c r="I10" s="135">
        <f t="shared" si="5"/>
        <v>-2.4621661123725474E-2</v>
      </c>
      <c r="J10" s="135">
        <f t="shared" si="5"/>
        <v>4.8917844617144268E-2</v>
      </c>
      <c r="K10" s="124">
        <f t="shared" si="5"/>
        <v>6.490092682072085E-2</v>
      </c>
      <c r="L10" s="124">
        <f t="shared" si="5"/>
        <v>6.0249386310488741E-2</v>
      </c>
      <c r="M10" s="124">
        <f t="shared" si="5"/>
        <v>7.423658368318635E-2</v>
      </c>
      <c r="N10" s="124">
        <f>(N9-M9)/M9</f>
        <v>5.115695337120596E-2</v>
      </c>
      <c r="O10" s="124">
        <f>(O9-N9)/N9</f>
        <v>5.7112299465240615E-2</v>
      </c>
      <c r="P10" s="136">
        <f t="shared" si="5"/>
        <v>5.5240793201133169E-2</v>
      </c>
      <c r="Q10" s="136">
        <f>(Q9-P9)/P9</f>
        <v>9.5550000000000079E-2</v>
      </c>
      <c r="R10" s="136">
        <f>(R9-Q9)/Q9</f>
        <v>0.1071699999999999</v>
      </c>
      <c r="S10" s="136"/>
      <c r="T10" s="136"/>
      <c r="U10" s="136">
        <f>(U9-R9)/R9</f>
        <v>6.2070000000000063E-2</v>
      </c>
      <c r="V10" s="136">
        <f t="shared" si="5"/>
        <v>5.8680000000000017E-2</v>
      </c>
      <c r="W10" s="136">
        <f>(W9-V9)/V9</f>
        <v>5.9979999999999867E-2</v>
      </c>
      <c r="X10" s="136">
        <f>(X9-W9)/W9</f>
        <v>4.9986000000000037E-2</v>
      </c>
      <c r="Y10" s="136">
        <f>(Y9-X9)/X9</f>
        <v>4.9984000000000042E-2</v>
      </c>
      <c r="Z10" s="136">
        <f>(Z9-Y9)/Y9</f>
        <v>4.9987000000000045E-2</v>
      </c>
      <c r="AA10" s="137">
        <v>1</v>
      </c>
      <c r="AB10" s="122" t="s">
        <v>61</v>
      </c>
      <c r="AC10" s="121"/>
      <c r="AG10" s="138">
        <v>1296</v>
      </c>
      <c r="AH10" s="138">
        <v>2274</v>
      </c>
      <c r="AI10" s="138">
        <v>1777</v>
      </c>
      <c r="AJ10" s="138">
        <v>9746</v>
      </c>
      <c r="AK10" s="138">
        <v>4022</v>
      </c>
      <c r="AL10" s="138">
        <v>17338</v>
      </c>
    </row>
    <row r="11" spans="1:38" ht="15.4" hidden="1" x14ac:dyDescent="0.45">
      <c r="A11" s="129" t="s">
        <v>62</v>
      </c>
      <c r="B11" s="134">
        <v>0.11506352087114347</v>
      </c>
      <c r="C11" s="135">
        <v>9.423828125E-2</v>
      </c>
      <c r="D11" s="135">
        <v>8.389112003569843E-2</v>
      </c>
      <c r="E11" s="135">
        <v>0.10786331823795803</v>
      </c>
      <c r="F11" s="135">
        <v>0.16524216524216517</v>
      </c>
      <c r="G11" s="135">
        <v>0.20499999999999999</v>
      </c>
      <c r="H11" s="135">
        <v>0.13902611150317568</v>
      </c>
      <c r="I11" s="135">
        <v>-5.0185870768587382E-2</v>
      </c>
      <c r="J11" s="135">
        <v>9.1086988385304934E-3</v>
      </c>
      <c r="K11" s="124">
        <v>3.5250000000000004E-2</v>
      </c>
      <c r="L11" s="124">
        <v>4.2000000000000003E-2</v>
      </c>
      <c r="M11" s="124">
        <v>4.6000000000000041E-2</v>
      </c>
      <c r="N11" s="124">
        <v>5.0000000000000044E-2</v>
      </c>
      <c r="O11" s="124">
        <v>5.2000000000000046E-2</v>
      </c>
      <c r="P11" s="136">
        <v>6.0581099999999832E-2</v>
      </c>
      <c r="Q11" s="136">
        <v>6.2370574999999873E-2</v>
      </c>
      <c r="R11" s="136">
        <v>6.2370574999999873E-2</v>
      </c>
      <c r="S11" s="136"/>
      <c r="T11" s="136"/>
      <c r="U11" s="136">
        <v>6.2370574999999873E-2</v>
      </c>
      <c r="V11" s="136">
        <v>1.0623705750000001</v>
      </c>
      <c r="W11" s="136">
        <v>2.0623705750000001</v>
      </c>
      <c r="X11" s="136">
        <v>3.0623705750000001</v>
      </c>
      <c r="Y11" s="136">
        <v>4.0623705750000001</v>
      </c>
      <c r="Z11" s="136">
        <v>5.0623705750000001</v>
      </c>
      <c r="AA11" s="139"/>
      <c r="AG11" s="138"/>
      <c r="AH11" s="138"/>
      <c r="AI11" s="138"/>
      <c r="AJ11" s="138"/>
      <c r="AK11" s="138"/>
      <c r="AL11" s="138"/>
    </row>
    <row r="12" spans="1:38" ht="15.4" hidden="1" x14ac:dyDescent="0.45">
      <c r="A12" s="129" t="s">
        <v>63</v>
      </c>
      <c r="B12" s="134"/>
      <c r="C12" s="135"/>
      <c r="D12" s="135"/>
      <c r="E12" s="135"/>
      <c r="F12" s="135"/>
      <c r="G12" s="135"/>
      <c r="H12" s="135"/>
      <c r="I12" s="135"/>
      <c r="J12" s="135"/>
      <c r="K12" s="124"/>
      <c r="L12" s="124"/>
      <c r="M12" s="124"/>
      <c r="N12" s="124"/>
      <c r="O12" s="124"/>
      <c r="P12" s="136">
        <v>1.4735994780322E-2</v>
      </c>
      <c r="Q12" s="136">
        <v>8.3090802600220195E-3</v>
      </c>
      <c r="R12" s="136"/>
      <c r="S12" s="136"/>
      <c r="T12" s="136"/>
      <c r="U12" s="136"/>
      <c r="V12" s="136"/>
      <c r="W12" s="136"/>
      <c r="X12" s="136"/>
      <c r="Y12" s="136"/>
      <c r="Z12" s="136"/>
      <c r="AA12" s="139"/>
      <c r="AG12" s="322" t="s">
        <v>64</v>
      </c>
      <c r="AH12" s="323" t="s">
        <v>64</v>
      </c>
      <c r="AI12" s="323" t="s">
        <v>64</v>
      </c>
      <c r="AJ12" s="323" t="s">
        <v>64</v>
      </c>
      <c r="AK12" s="323" t="s">
        <v>64</v>
      </c>
      <c r="AL12" s="323" t="s">
        <v>64</v>
      </c>
    </row>
    <row r="13" spans="1:38" ht="15.4" hidden="1" x14ac:dyDescent="0.45">
      <c r="A13" s="140"/>
      <c r="B13" s="140"/>
      <c r="C13" s="140"/>
      <c r="D13" s="140"/>
      <c r="E13" s="140"/>
      <c r="F13" s="140"/>
      <c r="G13" s="141"/>
      <c r="H13" s="142"/>
      <c r="I13" s="142"/>
      <c r="J13" s="141"/>
      <c r="K13" s="141"/>
      <c r="L13" s="143"/>
      <c r="M13" s="144"/>
      <c r="N13" s="144"/>
      <c r="O13" s="144"/>
      <c r="P13" s="144"/>
      <c r="Q13" s="145"/>
      <c r="R13" s="144"/>
      <c r="S13" s="144"/>
      <c r="T13" s="144"/>
      <c r="U13" s="144"/>
      <c r="V13" s="144"/>
      <c r="W13" s="144"/>
      <c r="X13" s="144"/>
      <c r="Y13" s="144"/>
      <c r="Z13" s="144"/>
      <c r="AG13" s="128">
        <f t="shared" ref="AG13:AL13" si="6">+AG7-AG10</f>
        <v>-31</v>
      </c>
      <c r="AH13" s="128">
        <f t="shared" si="6"/>
        <v>-17</v>
      </c>
      <c r="AI13" s="128">
        <f t="shared" si="6"/>
        <v>-15</v>
      </c>
      <c r="AJ13" s="128">
        <f t="shared" si="6"/>
        <v>-215</v>
      </c>
      <c r="AK13" s="128">
        <f t="shared" si="6"/>
        <v>17</v>
      </c>
      <c r="AL13" s="128">
        <f t="shared" si="6"/>
        <v>-246</v>
      </c>
    </row>
    <row r="14" spans="1:38" ht="15" hidden="1" x14ac:dyDescent="0.4">
      <c r="A14" s="146" t="s">
        <v>65</v>
      </c>
      <c r="B14" s="146">
        <v>4637346</v>
      </c>
      <c r="C14" s="146">
        <v>5253387</v>
      </c>
      <c r="D14" s="146">
        <v>5759297.4192476328</v>
      </c>
      <c r="E14" s="146">
        <v>6967735.6742039807</v>
      </c>
      <c r="F14" s="146">
        <v>8524990.7328109629</v>
      </c>
      <c r="G14" s="146">
        <v>9817542.9166719895</v>
      </c>
      <c r="H14" s="146">
        <v>8291618.6340802489</v>
      </c>
      <c r="I14" s="146">
        <v>7464842.4577863561</v>
      </c>
      <c r="J14" s="146">
        <v>7798115</v>
      </c>
      <c r="K14" s="146">
        <f>K7*K16-1</f>
        <v>8275602.3213967998</v>
      </c>
      <c r="L14" s="146">
        <f>L7*L16-1</f>
        <v>8963676.9399634991</v>
      </c>
      <c r="M14" s="146">
        <f>M7*M16</f>
        <v>9533974.8910560012</v>
      </c>
      <c r="N14" s="146">
        <f>N7*N16+1543</f>
        <v>10270535.800000001</v>
      </c>
      <c r="O14" s="146">
        <f>CEILING((O7*O16),100)+502</f>
        <v>10781702</v>
      </c>
      <c r="P14" s="146">
        <f>+P7*P16+(P7*P16*P12)</f>
        <v>11542918</v>
      </c>
      <c r="Q14" s="146">
        <f>+Q7*Q16+(Q7*Q16*Q12)</f>
        <v>12830999</v>
      </c>
      <c r="R14" s="146">
        <f>CEILING((R7*R16),100)</f>
        <v>14290000</v>
      </c>
      <c r="S14" s="146"/>
      <c r="T14" s="146"/>
      <c r="U14" s="146">
        <f>CEILING((U7*U16),100)</f>
        <v>15215100</v>
      </c>
      <c r="V14" s="146">
        <f>CEILING((V7*V16),100)-55</f>
        <v>16107845</v>
      </c>
      <c r="W14" s="146">
        <f>CEILING((W7*W16),100)-85</f>
        <v>17074015</v>
      </c>
      <c r="X14" s="146">
        <f>CEILING((X7*X16),100)-85</f>
        <v>17927415</v>
      </c>
      <c r="Y14" s="146">
        <f>CEILING((Y7*Y16),100)-85</f>
        <v>18823515</v>
      </c>
      <c r="Z14" s="146">
        <f>CEILING((Z7*Z16),100)-85</f>
        <v>19764515</v>
      </c>
    </row>
    <row r="15" spans="1:38" ht="15.4" hidden="1" x14ac:dyDescent="0.45">
      <c r="A15" s="129" t="s">
        <v>66</v>
      </c>
      <c r="B15" s="134"/>
      <c r="C15" s="135">
        <f t="shared" ref="C15:V15" si="7">(C14-B14)/B14</f>
        <v>0.13284344105443069</v>
      </c>
      <c r="D15" s="135">
        <f t="shared" si="7"/>
        <v>9.630176098727028E-2</v>
      </c>
      <c r="E15" s="135">
        <f t="shared" si="7"/>
        <v>0.20982390159565895</v>
      </c>
      <c r="F15" s="135">
        <f t="shared" si="7"/>
        <v>0.22349513980162411</v>
      </c>
      <c r="G15" s="135">
        <f t="shared" si="7"/>
        <v>0.15161918931902824</v>
      </c>
      <c r="H15" s="135">
        <f t="shared" si="7"/>
        <v>-0.1554283282022064</v>
      </c>
      <c r="I15" s="135">
        <f t="shared" si="7"/>
        <v>-9.9712277274267486E-2</v>
      </c>
      <c r="J15" s="135">
        <f t="shared" si="7"/>
        <v>4.4645623011911953E-2</v>
      </c>
      <c r="K15" s="124">
        <f>(K14-J14)/J14</f>
        <v>6.1231120776854372E-2</v>
      </c>
      <c r="L15" s="124">
        <f>(L14-K14)/K14</f>
        <v>8.3144959344851943E-2</v>
      </c>
      <c r="M15" s="124">
        <f t="shared" si="7"/>
        <v>6.3623215663863988E-2</v>
      </c>
      <c r="N15" s="124">
        <f t="shared" si="7"/>
        <v>7.7256434735839402E-2</v>
      </c>
      <c r="O15" s="124">
        <f t="shared" si="7"/>
        <v>4.9770159021304342E-2</v>
      </c>
      <c r="P15" s="124">
        <f>(P14-O14)/O14</f>
        <v>7.0602582041314074E-2</v>
      </c>
      <c r="Q15" s="124">
        <v>0.11159059666064475</v>
      </c>
      <c r="R15" s="124">
        <f t="shared" si="7"/>
        <v>0.11370907284771825</v>
      </c>
      <c r="S15" s="124"/>
      <c r="T15" s="124"/>
      <c r="U15" s="124">
        <f>(U14-R14)/R14</f>
        <v>6.4737578726382083E-2</v>
      </c>
      <c r="V15" s="124">
        <f t="shared" si="7"/>
        <v>5.8674934768749465E-2</v>
      </c>
      <c r="W15" s="124">
        <f>(W14-V14)/V14</f>
        <v>5.9981332077630498E-2</v>
      </c>
      <c r="X15" s="124">
        <f>(X14-W14)/W14</f>
        <v>4.9982385513893481E-2</v>
      </c>
      <c r="Y15" s="124">
        <f>(Y14-X14)/X14</f>
        <v>4.9984897432228795E-2</v>
      </c>
      <c r="Z15" s="124">
        <f>(Z14-Y14)/Y14</f>
        <v>4.9990663274101572E-2</v>
      </c>
    </row>
    <row r="16" spans="1:38" ht="15.4" hidden="1" x14ac:dyDescent="0.45">
      <c r="A16" s="129" t="s">
        <v>67</v>
      </c>
      <c r="B16" s="134">
        <f t="shared" ref="B16:J16" si="8">B14/B7</f>
        <v>0.11492344134661686</v>
      </c>
      <c r="C16" s="135">
        <f t="shared" si="8"/>
        <v>0.11773768014017215</v>
      </c>
      <c r="D16" s="135">
        <f t="shared" si="8"/>
        <v>0.11556827013878172</v>
      </c>
      <c r="E16" s="135">
        <f t="shared" si="8"/>
        <v>0.11784251729079361</v>
      </c>
      <c r="F16" s="135">
        <f t="shared" si="8"/>
        <v>0.11845246805965556</v>
      </c>
      <c r="G16" s="135">
        <f>G14/G7</f>
        <v>0.1208226484442044</v>
      </c>
      <c r="H16" s="135">
        <f t="shared" si="8"/>
        <v>0.11798416589098459</v>
      </c>
      <c r="I16" s="135">
        <f t="shared" si="8"/>
        <v>0.11512957216868754</v>
      </c>
      <c r="J16" s="135">
        <f t="shared" si="8"/>
        <v>0.11554277172383214</v>
      </c>
      <c r="K16" s="124">
        <v>0.114</v>
      </c>
      <c r="L16" s="136">
        <v>0.1157</v>
      </c>
      <c r="M16" s="136">
        <v>0.11600000000000001</v>
      </c>
      <c r="N16" s="136">
        <v>0.11600000000000001</v>
      </c>
      <c r="O16" s="136">
        <v>0.11600000000000001</v>
      </c>
      <c r="P16" s="136">
        <v>0.11600000000000001</v>
      </c>
      <c r="Q16" s="136">
        <v>0.1186</v>
      </c>
      <c r="R16" s="136">
        <v>0.1193</v>
      </c>
      <c r="S16" s="136"/>
      <c r="T16" s="136"/>
      <c r="U16" s="136">
        <v>0.1196</v>
      </c>
      <c r="V16" s="136">
        <f>+U16</f>
        <v>0.1196</v>
      </c>
      <c r="W16" s="136">
        <f>+V16</f>
        <v>0.1196</v>
      </c>
      <c r="X16" s="136">
        <f>+W16</f>
        <v>0.1196</v>
      </c>
      <c r="Y16" s="136">
        <f>+X16</f>
        <v>0.1196</v>
      </c>
      <c r="Z16" s="136">
        <f>+Y16</f>
        <v>0.1196</v>
      </c>
      <c r="AA16" s="139"/>
    </row>
    <row r="17" spans="1:27" ht="20.65" hidden="1" x14ac:dyDescent="0.35">
      <c r="A17" s="147" t="s">
        <v>68</v>
      </c>
      <c r="B17" s="148"/>
      <c r="C17" s="148"/>
      <c r="D17" s="148"/>
      <c r="E17" s="149">
        <f>+I14/G14-100%</f>
        <v>-0.23964249291849959</v>
      </c>
      <c r="F17" s="150" t="s">
        <v>69</v>
      </c>
      <c r="H17" s="151"/>
      <c r="J17" s="152"/>
      <c r="K17" s="153" t="s">
        <v>70</v>
      </c>
      <c r="L17" s="154">
        <f>+L14-K14</f>
        <v>688074.61856669933</v>
      </c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39"/>
    </row>
    <row r="18" spans="1:27" ht="14.25" hidden="1" x14ac:dyDescent="0.35">
      <c r="B18" s="155"/>
      <c r="E18" s="149">
        <f>+L14/G14-100%</f>
        <v>-8.6973490613264315E-2</v>
      </c>
      <c r="F18" s="150" t="s">
        <v>71</v>
      </c>
      <c r="H18" s="156"/>
      <c r="K18" s="157" t="s">
        <v>72</v>
      </c>
      <c r="L18" s="158">
        <v>128779</v>
      </c>
    </row>
    <row r="19" spans="1:27" ht="14.25" hidden="1" x14ac:dyDescent="0.35">
      <c r="E19" s="149">
        <f>+L14/F14-100%</f>
        <v>5.1458848566734661E-2</v>
      </c>
      <c r="F19" s="150" t="s">
        <v>73</v>
      </c>
      <c r="H19" s="139"/>
      <c r="K19" s="157" t="s">
        <v>74</v>
      </c>
      <c r="L19" s="158">
        <f>+L17-L18</f>
        <v>559295.61856669933</v>
      </c>
    </row>
    <row r="20" spans="1:27" hidden="1" x14ac:dyDescent="0.35">
      <c r="A20" s="159" t="s">
        <v>75</v>
      </c>
      <c r="F20" s="159"/>
      <c r="L20" s="160"/>
      <c r="M20" s="160"/>
    </row>
    <row r="21" spans="1:27" hidden="1" x14ac:dyDescent="0.35"/>
    <row r="22" spans="1:27" ht="17.25" hidden="1" customHeight="1" x14ac:dyDescent="0.45">
      <c r="A22" s="133" t="s">
        <v>76</v>
      </c>
      <c r="J22" s="161">
        <v>7798115</v>
      </c>
      <c r="K22" s="161"/>
      <c r="L22" s="161"/>
      <c r="M22" s="162" t="s">
        <v>77</v>
      </c>
      <c r="N22" s="161">
        <v>10009420</v>
      </c>
      <c r="O22" s="161"/>
      <c r="P22" s="133">
        <f t="shared" ref="P22:Z22" si="9">+P14-O14</f>
        <v>761216</v>
      </c>
      <c r="Q22" s="133">
        <f>+Q14-P14</f>
        <v>1288081</v>
      </c>
      <c r="R22" s="133">
        <f>+R14-Q14</f>
        <v>1459001</v>
      </c>
      <c r="S22" s="133"/>
      <c r="T22" s="133"/>
      <c r="U22" s="133">
        <f>+U14-R14</f>
        <v>925100</v>
      </c>
      <c r="V22" s="133">
        <f t="shared" si="9"/>
        <v>892745</v>
      </c>
      <c r="W22" s="133">
        <f t="shared" si="9"/>
        <v>966170</v>
      </c>
      <c r="X22" s="133">
        <f t="shared" si="9"/>
        <v>853400</v>
      </c>
      <c r="Y22" s="133">
        <f t="shared" si="9"/>
        <v>896100</v>
      </c>
      <c r="Z22" s="133">
        <f t="shared" si="9"/>
        <v>941000</v>
      </c>
    </row>
    <row r="23" spans="1:27" hidden="1" x14ac:dyDescent="0.35"/>
    <row r="24" spans="1:27" ht="15.4" hidden="1" x14ac:dyDescent="0.45">
      <c r="A24" s="133" t="s">
        <v>78</v>
      </c>
      <c r="J24" s="161"/>
      <c r="K24" s="161"/>
      <c r="L24" s="161"/>
      <c r="M24" s="162"/>
      <c r="N24" s="161"/>
      <c r="O24" s="161"/>
      <c r="P24" s="133"/>
      <c r="Q24" s="133"/>
      <c r="R24" s="133">
        <v>13965000</v>
      </c>
      <c r="S24" s="133"/>
      <c r="T24" s="133"/>
      <c r="U24" s="133">
        <v>15120100</v>
      </c>
      <c r="V24" s="133">
        <v>16102845</v>
      </c>
      <c r="W24" s="133">
        <v>17069015</v>
      </c>
      <c r="X24" s="133">
        <v>17922415</v>
      </c>
      <c r="Y24" s="133">
        <v>18818515</v>
      </c>
      <c r="Z24" s="133">
        <v>19759515</v>
      </c>
    </row>
    <row r="25" spans="1:27" ht="15.4" hidden="1" x14ac:dyDescent="0.45">
      <c r="A25" s="133" t="s">
        <v>79</v>
      </c>
      <c r="J25" s="161"/>
      <c r="K25" s="161"/>
      <c r="L25" s="161"/>
      <c r="M25" s="162"/>
      <c r="N25" s="161"/>
      <c r="O25" s="161"/>
      <c r="P25" s="133"/>
      <c r="Q25" s="133"/>
      <c r="R25" s="133">
        <f t="shared" ref="R25:Z25" si="10">+R14-R24</f>
        <v>325000</v>
      </c>
      <c r="S25" s="133"/>
      <c r="T25" s="133"/>
      <c r="U25" s="133">
        <f t="shared" si="10"/>
        <v>95000</v>
      </c>
      <c r="V25" s="133">
        <f t="shared" si="10"/>
        <v>5000</v>
      </c>
      <c r="W25" s="133">
        <f t="shared" si="10"/>
        <v>5000</v>
      </c>
      <c r="X25" s="133">
        <f t="shared" si="10"/>
        <v>5000</v>
      </c>
      <c r="Y25" s="133">
        <f t="shared" si="10"/>
        <v>5000</v>
      </c>
      <c r="Z25" s="133">
        <f t="shared" si="10"/>
        <v>5000</v>
      </c>
    </row>
    <row r="26" spans="1:27" hidden="1" x14ac:dyDescent="0.35"/>
    <row r="27" spans="1:27" ht="15.4" hidden="1" x14ac:dyDescent="0.45">
      <c r="A27" s="163" t="s">
        <v>80</v>
      </c>
      <c r="R27" s="133">
        <v>13630000</v>
      </c>
      <c r="S27" s="164"/>
      <c r="T27" s="164"/>
    </row>
    <row r="28" spans="1:27" hidden="1" x14ac:dyDescent="0.35">
      <c r="P28" s="112">
        <v>11542918</v>
      </c>
      <c r="Q28" s="112">
        <v>12830999</v>
      </c>
    </row>
    <row r="29" spans="1:27" hidden="1" x14ac:dyDescent="0.35"/>
    <row r="30" spans="1:27" ht="15.4" hidden="1" x14ac:dyDescent="0.45">
      <c r="Q30" s="157" t="s">
        <v>81</v>
      </c>
      <c r="R30" s="133">
        <f>CEILING((R7*Q16),100)</f>
        <v>14206100</v>
      </c>
      <c r="S30" s="133"/>
      <c r="T30" s="133"/>
      <c r="U30" s="133">
        <f>CEILING((U7*R16),100)</f>
        <v>15176900</v>
      </c>
    </row>
    <row r="31" spans="1:27" ht="15.4" hidden="1" x14ac:dyDescent="0.45">
      <c r="Q31" s="163" t="s">
        <v>82</v>
      </c>
      <c r="R31" s="133">
        <f>+R14-R30</f>
        <v>83900</v>
      </c>
      <c r="S31" s="133"/>
      <c r="T31" s="133"/>
      <c r="U31" s="133">
        <f>+U14-U30</f>
        <v>38200</v>
      </c>
    </row>
    <row r="32" spans="1:27" hidden="1" x14ac:dyDescent="0.35"/>
    <row r="33" spans="1:40" hidden="1" x14ac:dyDescent="0.35"/>
    <row r="34" spans="1:40" ht="15" hidden="1" x14ac:dyDescent="0.4">
      <c r="U34" s="146">
        <f>CEILING((U7*U35),100)</f>
        <v>15176900</v>
      </c>
      <c r="V34" s="163" t="s">
        <v>83</v>
      </c>
    </row>
    <row r="35" spans="1:40" hidden="1" x14ac:dyDescent="0.35">
      <c r="R35" s="165">
        <f>+R14/Q14-1</f>
        <v>0.11370907284771814</v>
      </c>
      <c r="S35" s="165"/>
      <c r="T35" s="165"/>
      <c r="U35" s="166">
        <v>0.1193</v>
      </c>
      <c r="V35" s="163" t="s">
        <v>83</v>
      </c>
    </row>
    <row r="36" spans="1:40" ht="15" hidden="1" x14ac:dyDescent="0.4">
      <c r="P36" s="165">
        <f>+P37/P14</f>
        <v>0</v>
      </c>
      <c r="Q36" s="165">
        <f>+Q37/Q14</f>
        <v>0</v>
      </c>
      <c r="U36" s="146">
        <f>+U34-U14</f>
        <v>-38200</v>
      </c>
      <c r="V36" s="163" t="s">
        <v>83</v>
      </c>
    </row>
    <row r="37" spans="1:40" hidden="1" x14ac:dyDescent="0.35">
      <c r="P37" s="160">
        <f>+P14-P28</f>
        <v>0</v>
      </c>
      <c r="Q37" s="160">
        <f>+Q14-Q28</f>
        <v>0</v>
      </c>
    </row>
    <row r="38" spans="1:40" ht="15.4" hidden="1" x14ac:dyDescent="0.45">
      <c r="Q38" s="157" t="s">
        <v>84</v>
      </c>
      <c r="R38" s="133">
        <v>13955000</v>
      </c>
      <c r="S38" s="164"/>
      <c r="T38" s="164"/>
    </row>
    <row r="39" spans="1:40" hidden="1" x14ac:dyDescent="0.35"/>
    <row r="40" spans="1:40" hidden="1" x14ac:dyDescent="0.35">
      <c r="R40" s="160">
        <f>+R38-R14</f>
        <v>-335000</v>
      </c>
      <c r="S40" s="160"/>
      <c r="T40" s="160"/>
    </row>
    <row r="42" spans="1:40" ht="15" x14ac:dyDescent="0.4">
      <c r="A42" s="167" t="s">
        <v>43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8"/>
      <c r="W42" s="168"/>
      <c r="X42" s="169" t="s">
        <v>85</v>
      </c>
      <c r="Y42" s="169"/>
      <c r="Z42" s="169"/>
      <c r="AA42" s="169"/>
      <c r="AB42" s="169"/>
      <c r="AC42" s="170" t="s">
        <v>86</v>
      </c>
      <c r="AD42" s="171"/>
      <c r="AE42" s="171"/>
      <c r="AF42" s="171"/>
      <c r="AG42" s="171"/>
      <c r="AH42" s="171"/>
    </row>
    <row r="43" spans="1:40" ht="13.15" thickBot="1" x14ac:dyDescent="0.4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3" t="s">
        <v>46</v>
      </c>
      <c r="W43" s="173" t="s">
        <v>46</v>
      </c>
      <c r="X43" s="174" t="s">
        <v>87</v>
      </c>
      <c r="Y43" s="174" t="s">
        <v>87</v>
      </c>
      <c r="Z43" s="174" t="s">
        <v>87</v>
      </c>
      <c r="AA43" s="174" t="s">
        <v>87</v>
      </c>
      <c r="AB43" s="174" t="s">
        <v>87</v>
      </c>
      <c r="AC43" s="175" t="s">
        <v>87</v>
      </c>
      <c r="AD43" s="175" t="s">
        <v>87</v>
      </c>
      <c r="AE43" s="175" t="s">
        <v>87</v>
      </c>
      <c r="AF43" s="175" t="s">
        <v>87</v>
      </c>
      <c r="AG43" s="175" t="s">
        <v>87</v>
      </c>
      <c r="AH43" s="175" t="s">
        <v>87</v>
      </c>
    </row>
    <row r="44" spans="1:40" ht="45.4" thickBot="1" x14ac:dyDescent="0.4">
      <c r="A44" s="176" t="s">
        <v>44</v>
      </c>
      <c r="B44" s="177">
        <f t="shared" ref="B44:H44" si="11">C44-1</f>
        <v>2003</v>
      </c>
      <c r="C44" s="177">
        <f t="shared" si="11"/>
        <v>2004</v>
      </c>
      <c r="D44" s="177">
        <f t="shared" si="11"/>
        <v>2005</v>
      </c>
      <c r="E44" s="177">
        <f t="shared" si="11"/>
        <v>2006</v>
      </c>
      <c r="F44" s="177">
        <f t="shared" si="11"/>
        <v>2007</v>
      </c>
      <c r="G44" s="177">
        <f t="shared" si="11"/>
        <v>2008</v>
      </c>
      <c r="H44" s="177">
        <f t="shared" si="11"/>
        <v>2009</v>
      </c>
      <c r="I44" s="177">
        <v>2010</v>
      </c>
      <c r="J44" s="177">
        <v>2011</v>
      </c>
      <c r="K44" s="177">
        <v>2012</v>
      </c>
      <c r="L44" s="177">
        <v>2013</v>
      </c>
      <c r="M44" s="177">
        <v>2014</v>
      </c>
      <c r="N44" s="177">
        <v>2015</v>
      </c>
      <c r="O44" s="177">
        <v>2016</v>
      </c>
      <c r="P44" s="178" t="s">
        <v>88</v>
      </c>
      <c r="Q44" s="178" t="s">
        <v>89</v>
      </c>
      <c r="R44" s="179" t="s">
        <v>90</v>
      </c>
      <c r="S44" s="180" t="s">
        <v>91</v>
      </c>
      <c r="T44" s="180" t="s">
        <v>137</v>
      </c>
      <c r="U44" s="180" t="s">
        <v>92</v>
      </c>
      <c r="V44" s="181" t="s">
        <v>93</v>
      </c>
      <c r="W44" s="181" t="s">
        <v>94</v>
      </c>
      <c r="X44" s="182">
        <v>2021</v>
      </c>
      <c r="Y44" s="183">
        <v>2022</v>
      </c>
      <c r="Z44" s="183">
        <v>2023</v>
      </c>
      <c r="AA44" s="183">
        <v>2024</v>
      </c>
      <c r="AB44" s="184">
        <v>2025</v>
      </c>
      <c r="AC44" s="185">
        <v>2020</v>
      </c>
      <c r="AD44" s="186">
        <v>2021</v>
      </c>
      <c r="AE44" s="186">
        <v>2022</v>
      </c>
      <c r="AF44" s="186">
        <v>2023</v>
      </c>
      <c r="AG44" s="186">
        <v>2024</v>
      </c>
      <c r="AH44" s="186">
        <v>2025</v>
      </c>
      <c r="AK44" s="180"/>
      <c r="AL44" s="180" t="s">
        <v>95</v>
      </c>
      <c r="AM44" s="180" t="s">
        <v>159</v>
      </c>
    </row>
    <row r="45" spans="1:40" ht="15.4" x14ac:dyDescent="0.35">
      <c r="A45" s="187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</row>
    <row r="46" spans="1:40" ht="15.4" x14ac:dyDescent="0.45">
      <c r="A46" s="189" t="s">
        <v>47</v>
      </c>
      <c r="B46" s="190">
        <v>8675</v>
      </c>
      <c r="C46" s="190">
        <v>8740</v>
      </c>
      <c r="D46" s="190">
        <v>8744</v>
      </c>
      <c r="E46" s="190">
        <v>8897</v>
      </c>
      <c r="F46" s="190">
        <v>8980</v>
      </c>
      <c r="G46" s="190">
        <v>8826</v>
      </c>
      <c r="H46" s="190">
        <v>8170</v>
      </c>
      <c r="I46" s="190">
        <v>7728</v>
      </c>
      <c r="J46" s="190">
        <v>7669</v>
      </c>
      <c r="K46" s="190">
        <v>7746</v>
      </c>
      <c r="L46" s="190">
        <v>7797</v>
      </c>
      <c r="M46" s="190">
        <v>7700</v>
      </c>
      <c r="N46" s="190">
        <v>7890</v>
      </c>
      <c r="O46" s="190">
        <v>7836</v>
      </c>
      <c r="P46" s="191">
        <v>7835</v>
      </c>
      <c r="Q46" s="190">
        <v>7825</v>
      </c>
      <c r="R46" s="190">
        <v>7886</v>
      </c>
      <c r="S46" s="190">
        <v>7672</v>
      </c>
      <c r="T46" s="190">
        <v>7648</v>
      </c>
      <c r="U46" s="190">
        <v>7700</v>
      </c>
      <c r="V46" s="190">
        <v>7400</v>
      </c>
      <c r="W46" s="190">
        <v>7670</v>
      </c>
      <c r="X46" s="190">
        <f>ROUND((W46*1.011),-1)</f>
        <v>7750</v>
      </c>
      <c r="Y46" s="190">
        <f>ROUND((X46*1.005),-1)</f>
        <v>7790</v>
      </c>
      <c r="Z46" s="190">
        <f>ROUND((Y46*1.003),-1)</f>
        <v>7810</v>
      </c>
      <c r="AA46" s="190">
        <f>ROUND((Z46*1.003),-1)</f>
        <v>7830</v>
      </c>
      <c r="AB46" s="190">
        <f>ROUND((AA46*1.003),-1)</f>
        <v>7850</v>
      </c>
      <c r="AC46" s="190">
        <v>7890</v>
      </c>
      <c r="AD46" s="190">
        <v>7890</v>
      </c>
      <c r="AE46" s="190">
        <v>7890</v>
      </c>
      <c r="AF46" s="190">
        <v>7890</v>
      </c>
      <c r="AG46" s="190">
        <v>7890</v>
      </c>
      <c r="AH46" s="190">
        <v>7890</v>
      </c>
      <c r="AI46" s="192"/>
      <c r="AJ46" s="192"/>
      <c r="AK46" s="190"/>
      <c r="AL46" s="190">
        <v>7740</v>
      </c>
      <c r="AM46" s="190">
        <v>7625</v>
      </c>
      <c r="AN46" s="160"/>
    </row>
    <row r="47" spans="1:40" ht="15.4" x14ac:dyDescent="0.45">
      <c r="A47" s="193" t="s">
        <v>50</v>
      </c>
      <c r="B47" s="194"/>
      <c r="C47" s="195">
        <f t="shared" ref="C47:I47" si="12">(C46-B46)/B46</f>
        <v>7.492795389048991E-3</v>
      </c>
      <c r="D47" s="195">
        <f t="shared" si="12"/>
        <v>4.5766590389016021E-4</v>
      </c>
      <c r="E47" s="195">
        <f t="shared" si="12"/>
        <v>1.7497712717291856E-2</v>
      </c>
      <c r="F47" s="195">
        <f t="shared" si="12"/>
        <v>9.3289872990895816E-3</v>
      </c>
      <c r="G47" s="195">
        <f t="shared" si="12"/>
        <v>-1.7149220489977728E-2</v>
      </c>
      <c r="H47" s="195">
        <f t="shared" si="12"/>
        <v>-7.4325855427147064E-2</v>
      </c>
      <c r="I47" s="195">
        <f t="shared" si="12"/>
        <v>-5.4100367197062425E-2</v>
      </c>
      <c r="J47" s="195">
        <f>(J46-I46)/I46</f>
        <v>-7.634575569358178E-3</v>
      </c>
      <c r="K47" s="195">
        <f>(K46-J46)/J46</f>
        <v>1.0040422480114749E-2</v>
      </c>
      <c r="L47" s="195">
        <f t="shared" ref="L47:Q47" si="13">(L46-K46)/K46</f>
        <v>6.5840433772269558E-3</v>
      </c>
      <c r="M47" s="195">
        <f t="shared" si="13"/>
        <v>-1.2440682313710401E-2</v>
      </c>
      <c r="N47" s="195">
        <f>(N46-M46)/M46</f>
        <v>2.4675324675324677E-2</v>
      </c>
      <c r="O47" s="196">
        <f>(O46-N46)/N46</f>
        <v>-6.8441064638783272E-3</v>
      </c>
      <c r="P47" s="197">
        <f t="shared" si="13"/>
        <v>-1.2761613067891782E-4</v>
      </c>
      <c r="Q47" s="196">
        <f t="shared" si="13"/>
        <v>-1.2763241863433313E-3</v>
      </c>
      <c r="R47" s="195">
        <f>(R46-Q46)/Q46</f>
        <v>7.7955271565495208E-3</v>
      </c>
      <c r="S47" s="195">
        <f>(S46-R46)/R46</f>
        <v>-2.7136697945726602E-2</v>
      </c>
      <c r="T47" s="195">
        <f t="shared" ref="T47:U47" si="14">(T46-S46)/S46</f>
        <v>-3.1282586027111575E-3</v>
      </c>
      <c r="U47" s="195">
        <f t="shared" si="14"/>
        <v>6.7991631799163184E-3</v>
      </c>
      <c r="V47" s="195">
        <f>(V46-R46)/R46</f>
        <v>-6.1628201876743595E-2</v>
      </c>
      <c r="W47" s="195">
        <f>(W46-R46)/R46</f>
        <v>-2.7390311945219376E-2</v>
      </c>
      <c r="X47" s="195">
        <f>(X46-W46)/V46</f>
        <v>1.0810810810810811E-2</v>
      </c>
      <c r="Y47" s="195">
        <f>(Y46-X46)/X46</f>
        <v>5.1612903225806452E-3</v>
      </c>
      <c r="Z47" s="195">
        <f>(Z46-Y46)/Y46</f>
        <v>2.5673940949935813E-3</v>
      </c>
      <c r="AA47" s="195">
        <f t="shared" ref="AA47:AB47" si="15">(AA46-Z46)/Z46</f>
        <v>2.5608194622279128E-3</v>
      </c>
      <c r="AB47" s="195">
        <f t="shared" si="15"/>
        <v>2.554278416347382E-3</v>
      </c>
      <c r="AC47" s="195">
        <v>0</v>
      </c>
      <c r="AD47" s="195">
        <f>(AD46-AC46)/U46</f>
        <v>0</v>
      </c>
      <c r="AE47" s="195">
        <f>(AE46-AD46)/AD46</f>
        <v>0</v>
      </c>
      <c r="AF47" s="195">
        <f>(AF46-AE46)/AE46</f>
        <v>0</v>
      </c>
      <c r="AG47" s="195">
        <f>(AG46-AF46)/AF46</f>
        <v>0</v>
      </c>
      <c r="AH47" s="195">
        <f>(AH46-AG46)/AG46</f>
        <v>0</v>
      </c>
      <c r="AI47" s="192"/>
      <c r="AJ47" s="192"/>
      <c r="AK47" s="195"/>
      <c r="AL47" s="195">
        <f>(AL46-T46)/T46</f>
        <v>1.202928870292887E-2</v>
      </c>
      <c r="AM47" s="195">
        <f>(AM46-T46)/U46</f>
        <v>-2.9870129870129872E-3</v>
      </c>
    </row>
    <row r="48" spans="1:40" ht="15.4" x14ac:dyDescent="0.45">
      <c r="A48" s="193" t="s">
        <v>57</v>
      </c>
      <c r="B48" s="194">
        <v>40351611</v>
      </c>
      <c r="C48" s="194">
        <v>44619420</v>
      </c>
      <c r="D48" s="194">
        <v>49834590.518067829</v>
      </c>
      <c r="E48" s="194">
        <v>59127518.949803799</v>
      </c>
      <c r="F48" s="194">
        <v>71969718.085718304</v>
      </c>
      <c r="G48" s="194">
        <v>81255816.215663463</v>
      </c>
      <c r="H48" s="194">
        <v>70277384.86316517</v>
      </c>
      <c r="I48" s="194">
        <v>64838618.933186769</v>
      </c>
      <c r="J48" s="194">
        <v>67491154</v>
      </c>
      <c r="K48" s="194">
        <f t="shared" ref="K48:AB48" si="16">K50*K46*12</f>
        <v>72593011.591199994</v>
      </c>
      <c r="L48" s="194">
        <f t="shared" si="16"/>
        <v>77473448.054999992</v>
      </c>
      <c r="M48" s="194">
        <f t="shared" si="16"/>
        <v>82189438.716000006</v>
      </c>
      <c r="N48" s="194">
        <f t="shared" si="16"/>
        <v>88525800</v>
      </c>
      <c r="O48" s="194">
        <f t="shared" si="16"/>
        <v>92941228.799999997</v>
      </c>
      <c r="P48" s="198">
        <f t="shared" si="16"/>
        <v>98062860</v>
      </c>
      <c r="Q48" s="194">
        <f t="shared" si="16"/>
        <v>107295647.23500001</v>
      </c>
      <c r="R48" s="194">
        <f t="shared" si="16"/>
        <v>114220824</v>
      </c>
      <c r="S48" s="194">
        <f t="shared" si="16"/>
        <v>114067296</v>
      </c>
      <c r="T48" s="194">
        <f t="shared" si="16"/>
        <v>121327872</v>
      </c>
      <c r="U48" s="194">
        <f t="shared" si="16"/>
        <v>127050000</v>
      </c>
      <c r="V48" s="194">
        <f t="shared" si="16"/>
        <v>111621600</v>
      </c>
      <c r="W48" s="194">
        <f t="shared" si="16"/>
        <v>115970400</v>
      </c>
      <c r="X48" s="194">
        <f t="shared" si="16"/>
        <v>121046940</v>
      </c>
      <c r="Y48" s="194">
        <f t="shared" si="16"/>
        <v>127146924.82799998</v>
      </c>
      <c r="Z48" s="194">
        <f t="shared" si="16"/>
        <v>133847029.14659998</v>
      </c>
      <c r="AA48" s="194">
        <f t="shared" si="16"/>
        <v>139557378.71275198</v>
      </c>
      <c r="AB48" s="194">
        <f t="shared" si="16"/>
        <v>145510400.9975616</v>
      </c>
      <c r="AC48" s="194">
        <v>127216139.42039794</v>
      </c>
      <c r="AD48" s="194">
        <f>AD50*AD46*12</f>
        <v>134681182.4815869</v>
      </c>
      <c r="AE48" s="194">
        <f>AE50*AE46*12</f>
        <v>142759359.80683246</v>
      </c>
      <c r="AF48" s="194">
        <f>AF50*AF46*12</f>
        <v>149895329.16613677</v>
      </c>
      <c r="AG48" s="194">
        <f>AG50*AG46*12</f>
        <v>157387697.29917699</v>
      </c>
      <c r="AH48" s="194">
        <f>AH50*AH46*12</f>
        <v>165255036.12407094</v>
      </c>
      <c r="AI48" s="192"/>
      <c r="AJ48" s="192"/>
      <c r="AK48" s="194"/>
      <c r="AL48" s="194">
        <f>AL50*AL46*12</f>
        <v>130032000</v>
      </c>
      <c r="AM48" s="194">
        <f>AM50*AM46*12</f>
        <v>128100000</v>
      </c>
    </row>
    <row r="49" spans="1:40" ht="15.4" x14ac:dyDescent="0.45">
      <c r="A49" s="199"/>
      <c r="B49" s="200"/>
      <c r="C49" s="200"/>
      <c r="D49" s="200"/>
      <c r="E49" s="200"/>
      <c r="F49" s="200"/>
      <c r="G49" s="201"/>
      <c r="H49" s="201"/>
      <c r="I49" s="201"/>
      <c r="J49" s="201"/>
      <c r="K49" s="201"/>
      <c r="L49" s="202"/>
      <c r="M49" s="203"/>
      <c r="N49" s="203"/>
      <c r="O49" s="203"/>
      <c r="P49" s="204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</row>
    <row r="50" spans="1:40" ht="15.4" x14ac:dyDescent="0.45">
      <c r="A50" s="189" t="s">
        <v>58</v>
      </c>
      <c r="B50" s="190">
        <f>B48/B46/12</f>
        <v>387.62354466858784</v>
      </c>
      <c r="C50" s="190">
        <f t="shared" ref="C50:J50" si="17">C48/C46/12</f>
        <v>425.43306636155603</v>
      </c>
      <c r="D50" s="190">
        <f t="shared" si="17"/>
        <v>474.94082149729178</v>
      </c>
      <c r="E50" s="190">
        <f t="shared" si="17"/>
        <v>553.81513384477728</v>
      </c>
      <c r="F50" s="190">
        <f t="shared" si="17"/>
        <v>667.87043509389662</v>
      </c>
      <c r="G50" s="190">
        <f t="shared" si="17"/>
        <v>767.20122569362741</v>
      </c>
      <c r="H50" s="190">
        <f t="shared" si="17"/>
        <v>716.82359101555664</v>
      </c>
      <c r="I50" s="190">
        <f>I48/I46/12</f>
        <v>699.17420347207963</v>
      </c>
      <c r="J50" s="190">
        <f t="shared" si="17"/>
        <v>733.37629851784243</v>
      </c>
      <c r="K50" s="190">
        <v>780.97310000000004</v>
      </c>
      <c r="L50" s="190">
        <v>828.02625</v>
      </c>
      <c r="M50" s="190">
        <v>889.49608999999998</v>
      </c>
      <c r="N50" s="190">
        <v>935</v>
      </c>
      <c r="O50" s="190">
        <v>988.4</v>
      </c>
      <c r="P50" s="191">
        <v>1043</v>
      </c>
      <c r="Q50" s="190">
        <f>+P50*1.09555</f>
        <v>1142.6586500000001</v>
      </c>
      <c r="R50" s="190">
        <v>1207</v>
      </c>
      <c r="S50" s="190">
        <v>1239</v>
      </c>
      <c r="T50" s="190">
        <v>1322</v>
      </c>
      <c r="U50" s="190">
        <v>1375</v>
      </c>
      <c r="V50" s="190">
        <v>1257</v>
      </c>
      <c r="W50" s="190">
        <v>1260</v>
      </c>
      <c r="X50" s="190">
        <f>1260*1.033</f>
        <v>1301.58</v>
      </c>
      <c r="Y50" s="190">
        <f>+X50*1.045</f>
        <v>1360.1510999999998</v>
      </c>
      <c r="Z50" s="190">
        <f>+Y50*1.05</f>
        <v>1428.158655</v>
      </c>
      <c r="AA50" s="190">
        <f>+Z50*1.04</f>
        <v>1485.2850011999999</v>
      </c>
      <c r="AB50" s="190">
        <f>+AA50*1.04</f>
        <v>1544.696401248</v>
      </c>
      <c r="AC50" s="190">
        <v>1343.6432131431975</v>
      </c>
      <c r="AD50" s="190">
        <f>+AC50*1.05868</f>
        <v>1422.4881968904403</v>
      </c>
      <c r="AE50" s="190">
        <f>+AD50*1.05998</f>
        <v>1507.8090389399288</v>
      </c>
      <c r="AF50" s="190">
        <f>+AE50*1.049986</f>
        <v>1583.1783815603801</v>
      </c>
      <c r="AG50" s="190">
        <f>+AF50*1.049984</f>
        <v>1662.3119697842942</v>
      </c>
      <c r="AH50" s="190">
        <f>+AG50*1.049987</f>
        <v>1745.4059582179018</v>
      </c>
      <c r="AI50" s="192"/>
      <c r="AJ50" s="192"/>
      <c r="AK50" s="190"/>
      <c r="AL50" s="190">
        <f>25+1375</f>
        <v>1400</v>
      </c>
      <c r="AM50" s="190">
        <v>1400</v>
      </c>
      <c r="AN50" s="160"/>
    </row>
    <row r="51" spans="1:40" ht="15.4" x14ac:dyDescent="0.45">
      <c r="A51" s="199" t="s">
        <v>60</v>
      </c>
      <c r="B51" s="205"/>
      <c r="C51" s="206">
        <f t="shared" ref="C51:P51" si="18">(C50-B50)/B50</f>
        <v>9.7541860428769223E-2</v>
      </c>
      <c r="D51" s="206">
        <f t="shared" si="18"/>
        <v>0.11637025668724438</v>
      </c>
      <c r="E51" s="206">
        <f t="shared" si="18"/>
        <v>0.16607187417334954</v>
      </c>
      <c r="F51" s="206">
        <f t="shared" si="18"/>
        <v>0.20594471743180395</v>
      </c>
      <c r="G51" s="206">
        <f t="shared" si="18"/>
        <v>0.14872763545187589</v>
      </c>
      <c r="H51" s="206">
        <f t="shared" si="18"/>
        <v>-6.5664173871104403E-2</v>
      </c>
      <c r="I51" s="206">
        <f t="shared" si="18"/>
        <v>-2.4621661123725474E-2</v>
      </c>
      <c r="J51" s="206">
        <f t="shared" si="18"/>
        <v>4.8917844617144268E-2</v>
      </c>
      <c r="K51" s="195">
        <f t="shared" si="18"/>
        <v>6.490092682072085E-2</v>
      </c>
      <c r="L51" s="195">
        <f t="shared" si="18"/>
        <v>6.0249386310488741E-2</v>
      </c>
      <c r="M51" s="195">
        <f t="shared" si="18"/>
        <v>7.423658368318635E-2</v>
      </c>
      <c r="N51" s="195">
        <f>(N50-M50)/M50</f>
        <v>5.115695337120596E-2</v>
      </c>
      <c r="O51" s="195">
        <f>(O50-N50)/N50</f>
        <v>5.7112299465240615E-2</v>
      </c>
      <c r="P51" s="207">
        <f t="shared" si="18"/>
        <v>5.5240793201133169E-2</v>
      </c>
      <c r="Q51" s="208">
        <f>(Q50-P50)/P50</f>
        <v>9.5550000000000079E-2</v>
      </c>
      <c r="R51" s="208">
        <f>(R50-Q50)/Q50</f>
        <v>5.6308460973887448E-2</v>
      </c>
      <c r="S51" s="208">
        <f>(S50-R50)/R50</f>
        <v>2.6512013256006627E-2</v>
      </c>
      <c r="T51" s="208">
        <f t="shared" ref="T51:U51" si="19">(T50-S50)/S50</f>
        <v>6.6989507667473774E-2</v>
      </c>
      <c r="U51" s="208">
        <f t="shared" si="19"/>
        <v>4.0090771558245086E-2</v>
      </c>
      <c r="V51" s="195">
        <f>(V50-R50)/R50</f>
        <v>4.1425020712510356E-2</v>
      </c>
      <c r="W51" s="195">
        <f>(W50-R50)/R50</f>
        <v>4.3910521955260975E-2</v>
      </c>
      <c r="X51" s="195">
        <f>(X50-W50)/V50</f>
        <v>3.3078758949880611E-2</v>
      </c>
      <c r="Y51" s="195">
        <f>(Y50-X50)/X50</f>
        <v>4.4999999999999915E-2</v>
      </c>
      <c r="Z51" s="195">
        <f t="shared" ref="Z51:AB51" si="20">(Z50-Y50)/Y50</f>
        <v>5.0000000000000107E-2</v>
      </c>
      <c r="AA51" s="195">
        <f t="shared" si="20"/>
        <v>3.9999999999999959E-2</v>
      </c>
      <c r="AB51" s="195">
        <f t="shared" si="20"/>
        <v>4.0000000000000091E-2</v>
      </c>
      <c r="AC51" s="208">
        <v>6.2070000000000063E-2</v>
      </c>
      <c r="AD51" s="208">
        <f>(AD50-AC50)/U50</f>
        <v>5.7341806361631165E-2</v>
      </c>
      <c r="AE51" s="208">
        <f>(AE50-AD50)/AD50</f>
        <v>5.9979999999999867E-2</v>
      </c>
      <c r="AF51" s="208">
        <f>(AF50-AE50)/AE50</f>
        <v>4.9986000000000037E-2</v>
      </c>
      <c r="AG51" s="208">
        <f>(AG50-AF50)/AF50</f>
        <v>4.9984000000000042E-2</v>
      </c>
      <c r="AH51" s="208">
        <f>(AH50-AG50)/AG50</f>
        <v>4.9987000000000045E-2</v>
      </c>
      <c r="AI51" s="192"/>
      <c r="AJ51" s="192"/>
      <c r="AK51" s="208"/>
      <c r="AL51" s="208">
        <f>(AL50-T50)/T50</f>
        <v>5.9001512859304085E-2</v>
      </c>
      <c r="AM51" s="208">
        <f>(AM50-T50)/U50</f>
        <v>5.672727272727273E-2</v>
      </c>
    </row>
    <row r="52" spans="1:40" ht="15.4" x14ac:dyDescent="0.45">
      <c r="A52" s="199" t="s">
        <v>96</v>
      </c>
      <c r="B52" s="205">
        <v>0.11506352087114347</v>
      </c>
      <c r="C52" s="206">
        <v>9.423828125E-2</v>
      </c>
      <c r="D52" s="206">
        <v>8.389112003569843E-2</v>
      </c>
      <c r="E52" s="206">
        <v>0.10786331823795803</v>
      </c>
      <c r="F52" s="206">
        <v>0.16524216524216517</v>
      </c>
      <c r="G52" s="206">
        <v>0.20499999999999999</v>
      </c>
      <c r="H52" s="206">
        <v>0.13902611150317568</v>
      </c>
      <c r="I52" s="206">
        <v>-5.0185870768587382E-2</v>
      </c>
      <c r="J52" s="206">
        <v>9.1086988385304934E-3</v>
      </c>
      <c r="K52" s="195">
        <v>3.5250000000000004E-2</v>
      </c>
      <c r="L52" s="195">
        <v>4.2000000000000003E-2</v>
      </c>
      <c r="M52" s="195">
        <v>4.6000000000000041E-2</v>
      </c>
      <c r="N52" s="195">
        <v>5.0000000000000044E-2</v>
      </c>
      <c r="O52" s="195">
        <v>5.2000000000000046E-2</v>
      </c>
      <c r="P52" s="207">
        <v>6.0581099999999832E-2</v>
      </c>
      <c r="Q52" s="208">
        <v>6.2370574999999873E-2</v>
      </c>
      <c r="R52" s="208">
        <v>6.2370574999999873E-2</v>
      </c>
      <c r="S52" s="208">
        <v>2.9000000000000001E-2</v>
      </c>
      <c r="T52" s="208">
        <v>5.8000000000000003E-2</v>
      </c>
      <c r="U52" s="208">
        <v>6.5000000000000002E-2</v>
      </c>
      <c r="V52" s="195">
        <v>2.1999999999999999E-2</v>
      </c>
      <c r="W52" s="195">
        <v>0.04</v>
      </c>
      <c r="X52" s="195">
        <v>3.3000000000000002E-2</v>
      </c>
      <c r="Y52" s="209">
        <v>4.4999999999999998E-2</v>
      </c>
      <c r="Z52" s="209">
        <f>+Z51</f>
        <v>5.0000000000000107E-2</v>
      </c>
      <c r="AA52" s="209">
        <f t="shared" ref="AA52:AB52" si="21">+AA51</f>
        <v>3.9999999999999959E-2</v>
      </c>
      <c r="AB52" s="209">
        <f t="shared" si="21"/>
        <v>4.0000000000000091E-2</v>
      </c>
      <c r="AC52" s="208">
        <v>6.2370574999999873E-2</v>
      </c>
      <c r="AD52" s="208">
        <v>1.0623705750000001</v>
      </c>
      <c r="AE52" s="208">
        <v>2.0623705750000001</v>
      </c>
      <c r="AF52" s="208">
        <v>3.0623705750000001</v>
      </c>
      <c r="AG52" s="208">
        <v>4.0623705750000001</v>
      </c>
      <c r="AH52" s="208">
        <v>5.0623705750000001</v>
      </c>
      <c r="AI52" s="192"/>
      <c r="AJ52" s="192"/>
      <c r="AK52" s="208"/>
      <c r="AL52" s="208">
        <v>8.3000000000000004E-2</v>
      </c>
      <c r="AM52" s="208">
        <v>7.9000000000000001E-2</v>
      </c>
    </row>
    <row r="53" spans="1:40" ht="15.4" x14ac:dyDescent="0.45">
      <c r="A53" s="199" t="s">
        <v>63</v>
      </c>
      <c r="B53" s="205"/>
      <c r="C53" s="206"/>
      <c r="D53" s="206"/>
      <c r="E53" s="206"/>
      <c r="F53" s="206"/>
      <c r="G53" s="206"/>
      <c r="H53" s="206"/>
      <c r="I53" s="206"/>
      <c r="J53" s="206"/>
      <c r="K53" s="195"/>
      <c r="L53" s="195"/>
      <c r="M53" s="195"/>
      <c r="N53" s="195"/>
      <c r="O53" s="195"/>
      <c r="P53" s="210">
        <v>1.4735994780322E-2</v>
      </c>
      <c r="Q53" s="208">
        <v>8.3090802600220195E-3</v>
      </c>
      <c r="R53" s="208">
        <v>2.6660650000000001E-2</v>
      </c>
      <c r="S53" s="208">
        <v>3.379368E-2</v>
      </c>
      <c r="T53" s="208">
        <v>3.186075E-2</v>
      </c>
      <c r="U53" s="208">
        <v>2.8784299999999999E-2</v>
      </c>
      <c r="V53" s="195">
        <v>2.5741400000000001E-2</v>
      </c>
      <c r="W53" s="195">
        <v>3.2000000000000001E-2</v>
      </c>
      <c r="X53" s="195">
        <v>0.03</v>
      </c>
      <c r="Y53" s="195">
        <v>2.8000000000000001E-2</v>
      </c>
      <c r="Z53" s="195">
        <v>2.2433999999999999E-2</v>
      </c>
      <c r="AA53" s="195">
        <v>2.2433999999999999E-2</v>
      </c>
      <c r="AB53" s="195">
        <v>2.2433999999999999E-2</v>
      </c>
      <c r="AC53" s="208"/>
      <c r="AD53" s="208"/>
      <c r="AE53" s="208"/>
      <c r="AF53" s="208"/>
      <c r="AG53" s="208"/>
      <c r="AH53" s="208"/>
      <c r="AI53" s="192"/>
      <c r="AJ53" s="192"/>
      <c r="AK53" s="208"/>
      <c r="AL53" s="208">
        <v>3.09118E-2</v>
      </c>
      <c r="AM53" s="208">
        <v>3.0293819999999999E-2</v>
      </c>
    </row>
    <row r="54" spans="1:40" ht="15.4" x14ac:dyDescent="0.45">
      <c r="A54" s="211"/>
      <c r="B54" s="212"/>
      <c r="C54" s="212"/>
      <c r="D54" s="212"/>
      <c r="E54" s="212"/>
      <c r="F54" s="212"/>
      <c r="G54" s="213"/>
      <c r="H54" s="214"/>
      <c r="I54" s="214"/>
      <c r="J54" s="213"/>
      <c r="K54" s="213"/>
      <c r="L54" s="215"/>
      <c r="M54" s="216"/>
      <c r="N54" s="216"/>
      <c r="O54" s="216"/>
      <c r="P54" s="216"/>
      <c r="Q54" s="217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192"/>
      <c r="AJ54" s="192"/>
      <c r="AK54" s="203"/>
      <c r="AL54" s="192"/>
      <c r="AM54" s="192"/>
    </row>
    <row r="55" spans="1:40" ht="15" x14ac:dyDescent="0.4">
      <c r="A55" s="218" t="s">
        <v>65</v>
      </c>
      <c r="B55" s="219">
        <v>4637346</v>
      </c>
      <c r="C55" s="219">
        <v>5253387</v>
      </c>
      <c r="D55" s="219">
        <v>5759297.4192476328</v>
      </c>
      <c r="E55" s="219">
        <v>6967735.6742039807</v>
      </c>
      <c r="F55" s="219">
        <v>8524990.7328109629</v>
      </c>
      <c r="G55" s="219">
        <v>9817542.9166719895</v>
      </c>
      <c r="H55" s="219">
        <v>8291618.6340802489</v>
      </c>
      <c r="I55" s="219">
        <v>7464842.4577863561</v>
      </c>
      <c r="J55" s="219">
        <v>7798115</v>
      </c>
      <c r="K55" s="219">
        <f>K48*K57-1</f>
        <v>8275602.3213967998</v>
      </c>
      <c r="L55" s="219">
        <f>L48*L57-1</f>
        <v>8963676.9399634991</v>
      </c>
      <c r="M55" s="219">
        <f>M48*M57</f>
        <v>9533974.8910560012</v>
      </c>
      <c r="N55" s="219">
        <f>N48*N57+1543</f>
        <v>10270535.800000001</v>
      </c>
      <c r="O55" s="219">
        <f>CEILING((O48*O57),100)+502</f>
        <v>10781702</v>
      </c>
      <c r="P55" s="220">
        <f t="shared" ref="P55:AB55" si="22">+P48*P57+(P48*P57*P53)</f>
        <v>11542918</v>
      </c>
      <c r="Q55" s="219">
        <f t="shared" si="22"/>
        <v>12830999</v>
      </c>
      <c r="R55" s="219">
        <f>+R48*R57+(R48*R57*R53)</f>
        <v>13989836.831577109</v>
      </c>
      <c r="S55" s="219">
        <f>+S48*S57+(S48*S57*S53)</f>
        <v>14103477.144058919</v>
      </c>
      <c r="T55" s="219">
        <f>+T48*T57+(T48*T57*T53)</f>
        <v>14973138.89213975</v>
      </c>
      <c r="U55" s="219">
        <f t="shared" si="22"/>
        <v>15632562.619674001</v>
      </c>
      <c r="V55" s="221">
        <f t="shared" si="22"/>
        <v>13693589.592007104</v>
      </c>
      <c r="W55" s="221">
        <f>+W48*W57+(W48*W57*W53)</f>
        <v>14313901.75488</v>
      </c>
      <c r="X55" s="222">
        <f>+X48*X57+(X48*X57*X53)</f>
        <v>14911530.44472</v>
      </c>
      <c r="Y55" s="222">
        <f t="shared" si="22"/>
        <v>15632561.831292802</v>
      </c>
      <c r="Z55" s="222">
        <f t="shared" si="22"/>
        <v>16367230.506457586</v>
      </c>
      <c r="AA55" s="222">
        <f t="shared" si="22"/>
        <v>17065509.790036544</v>
      </c>
      <c r="AB55" s="222">
        <f t="shared" si="22"/>
        <v>17793463.847491492</v>
      </c>
      <c r="AC55" s="223">
        <v>15215100</v>
      </c>
      <c r="AD55" s="223">
        <f>CEILING((AD48*AD57),100)-55</f>
        <v>16107845</v>
      </c>
      <c r="AE55" s="223">
        <f>CEILING((AE48*AE57),100)-85</f>
        <v>17074015</v>
      </c>
      <c r="AF55" s="223">
        <f>CEILING((AF48*AF57),100)-85</f>
        <v>17927415</v>
      </c>
      <c r="AG55" s="223">
        <f>CEILING((AG48*AG57),100)-85</f>
        <v>18823515</v>
      </c>
      <c r="AH55" s="223">
        <f>CEILING((AH48*AH57),100)-85</f>
        <v>19764515</v>
      </c>
      <c r="AI55" s="192"/>
      <c r="AJ55" s="192"/>
      <c r="AK55" s="219"/>
      <c r="AL55" s="219">
        <f>+AL48*AL57+(AL48*AL57*AL53)</f>
        <v>16032562.17204096</v>
      </c>
      <c r="AM55" s="219">
        <f>+AM48*AM57+(AM48*AM57*AM53)</f>
        <v>15784884.3457032</v>
      </c>
    </row>
    <row r="56" spans="1:40" ht="15.4" x14ac:dyDescent="0.45">
      <c r="A56" s="199" t="s">
        <v>66</v>
      </c>
      <c r="B56" s="205"/>
      <c r="C56" s="206">
        <f t="shared" ref="C56:R56" si="23">(C55-B55)/B55</f>
        <v>0.13284344105443069</v>
      </c>
      <c r="D56" s="206">
        <f t="shared" si="23"/>
        <v>9.630176098727028E-2</v>
      </c>
      <c r="E56" s="206">
        <f t="shared" si="23"/>
        <v>0.20982390159565895</v>
      </c>
      <c r="F56" s="206">
        <f t="shared" si="23"/>
        <v>0.22349513980162411</v>
      </c>
      <c r="G56" s="206">
        <f t="shared" si="23"/>
        <v>0.15161918931902824</v>
      </c>
      <c r="H56" s="206">
        <f t="shared" si="23"/>
        <v>-0.1554283282022064</v>
      </c>
      <c r="I56" s="206">
        <f t="shared" si="23"/>
        <v>-9.9712277274267486E-2</v>
      </c>
      <c r="J56" s="206">
        <f t="shared" si="23"/>
        <v>4.4645623011911953E-2</v>
      </c>
      <c r="K56" s="195">
        <f>(K55-J55)/J55</f>
        <v>6.1231120776854372E-2</v>
      </c>
      <c r="L56" s="195">
        <f>(L55-K55)/K55</f>
        <v>8.3144959344851943E-2</v>
      </c>
      <c r="M56" s="195">
        <f t="shared" si="23"/>
        <v>6.3623215663863988E-2</v>
      </c>
      <c r="N56" s="195">
        <f t="shared" si="23"/>
        <v>7.7256434735839402E-2</v>
      </c>
      <c r="O56" s="195">
        <f t="shared" si="23"/>
        <v>4.9770159021304342E-2</v>
      </c>
      <c r="P56" s="210">
        <f>(P55-O55)/O55</f>
        <v>7.0602582041314074E-2</v>
      </c>
      <c r="Q56" s="195">
        <v>0.11159059666064475</v>
      </c>
      <c r="R56" s="195">
        <f t="shared" si="23"/>
        <v>9.031547984510864E-2</v>
      </c>
      <c r="S56" s="195">
        <f>(S55-R55)/R55</f>
        <v>8.1230620378149512E-3</v>
      </c>
      <c r="T56" s="195">
        <f>(T55-S55)/S55</f>
        <v>6.1662931715188801E-2</v>
      </c>
      <c r="U56" s="195">
        <f>(U55-T55)/T55</f>
        <v>4.4040446848484134E-2</v>
      </c>
      <c r="V56" s="195">
        <f>(V55-R55)/R55</f>
        <v>-2.1175889550143392E-2</v>
      </c>
      <c r="W56" s="195">
        <f>(W55-R55)/R55</f>
        <v>2.3164310435088761E-2</v>
      </c>
      <c r="X56" s="195">
        <f>(X55-W55)/W55</f>
        <v>4.1751627199498709E-2</v>
      </c>
      <c r="Y56" s="195">
        <f>(Y55-X55)/X55</f>
        <v>4.8353949264014769E-2</v>
      </c>
      <c r="Z56" s="195">
        <f t="shared" ref="Z56:AB56" si="24">(Z55-Y55)/Y55</f>
        <v>4.6996051133099966E-2</v>
      </c>
      <c r="AA56" s="195">
        <f t="shared" si="24"/>
        <v>4.2663252240717008E-2</v>
      </c>
      <c r="AB56" s="195">
        <f t="shared" si="24"/>
        <v>4.2656449553001519E-2</v>
      </c>
      <c r="AC56" s="195">
        <v>6.4737578726382083E-2</v>
      </c>
      <c r="AD56" s="195">
        <f>(AD55-AC55)/AC55</f>
        <v>5.8674934768749465E-2</v>
      </c>
      <c r="AE56" s="195">
        <f>(AE55-AD55)/AD55</f>
        <v>5.9981332077630498E-2</v>
      </c>
      <c r="AF56" s="195">
        <f>(AF55-AE55)/AE55</f>
        <v>4.9982385513893481E-2</v>
      </c>
      <c r="AG56" s="195">
        <f>(AG55-AF55)/AF55</f>
        <v>4.9984897432228795E-2</v>
      </c>
      <c r="AH56" s="195">
        <f>(AH55-AG55)/AG55</f>
        <v>4.9990663274101572E-2</v>
      </c>
      <c r="AI56" s="192"/>
      <c r="AJ56" s="192"/>
      <c r="AK56" s="195"/>
      <c r="AL56" s="195">
        <f>(AL55-T55)/T55</f>
        <v>7.0754922366836628E-2</v>
      </c>
      <c r="AM56" s="195">
        <f>(AM55-T55)/T55</f>
        <v>5.4213445785210819E-2</v>
      </c>
    </row>
    <row r="57" spans="1:40" ht="15.4" x14ac:dyDescent="0.45">
      <c r="A57" s="199" t="s">
        <v>67</v>
      </c>
      <c r="B57" s="205">
        <f t="shared" ref="B57:J57" si="25">B55/B48</f>
        <v>0.11492344134661686</v>
      </c>
      <c r="C57" s="206">
        <f t="shared" si="25"/>
        <v>0.11773768014017215</v>
      </c>
      <c r="D57" s="206">
        <f t="shared" si="25"/>
        <v>0.11556827013878172</v>
      </c>
      <c r="E57" s="206">
        <f t="shared" si="25"/>
        <v>0.11784251729079361</v>
      </c>
      <c r="F57" s="206">
        <f t="shared" si="25"/>
        <v>0.11845246805965556</v>
      </c>
      <c r="G57" s="206">
        <f>G55/G48</f>
        <v>0.1208226484442044</v>
      </c>
      <c r="H57" s="206">
        <f t="shared" si="25"/>
        <v>0.11798416589098459</v>
      </c>
      <c r="I57" s="206">
        <f t="shared" si="25"/>
        <v>0.11512957216868754</v>
      </c>
      <c r="J57" s="206">
        <f t="shared" si="25"/>
        <v>0.11554277172383214</v>
      </c>
      <c r="K57" s="195">
        <v>0.114</v>
      </c>
      <c r="L57" s="208">
        <v>0.1157</v>
      </c>
      <c r="M57" s="208">
        <v>0.11600000000000001</v>
      </c>
      <c r="N57" s="208">
        <v>0.11600000000000001</v>
      </c>
      <c r="O57" s="208">
        <v>0.11600000000000001</v>
      </c>
      <c r="P57" s="208">
        <v>0.11600000000000001</v>
      </c>
      <c r="Q57" s="224">
        <v>0.1186</v>
      </c>
      <c r="R57" s="225">
        <v>0.1193</v>
      </c>
      <c r="S57" s="225">
        <v>0.1196</v>
      </c>
      <c r="T57" s="225">
        <v>0.1196</v>
      </c>
      <c r="U57" s="225">
        <v>0.1196</v>
      </c>
      <c r="V57" s="224">
        <v>0.1196</v>
      </c>
      <c r="W57" s="225">
        <v>0.1196</v>
      </c>
      <c r="X57" s="226">
        <v>0.1196</v>
      </c>
      <c r="Y57" s="224">
        <v>0.1196</v>
      </c>
      <c r="Z57" s="224">
        <v>0.1196</v>
      </c>
      <c r="AA57" s="224">
        <v>0.1196</v>
      </c>
      <c r="AB57" s="227">
        <v>0.1196</v>
      </c>
      <c r="AC57" s="228">
        <v>0.1196</v>
      </c>
      <c r="AD57" s="224">
        <f>+AC57</f>
        <v>0.1196</v>
      </c>
      <c r="AE57" s="224">
        <f>+AD57</f>
        <v>0.1196</v>
      </c>
      <c r="AF57" s="224">
        <f>+AE57</f>
        <v>0.1196</v>
      </c>
      <c r="AG57" s="224">
        <f>+AF57</f>
        <v>0.1196</v>
      </c>
      <c r="AH57" s="224">
        <f>+AG57</f>
        <v>0.1196</v>
      </c>
      <c r="AK57" s="225"/>
      <c r="AL57" s="224">
        <v>0.1196</v>
      </c>
      <c r="AM57" s="224">
        <v>0.1196</v>
      </c>
    </row>
    <row r="58" spans="1:40" ht="15.75" thickBot="1" x14ac:dyDescent="0.5">
      <c r="A58" s="229" t="s">
        <v>76</v>
      </c>
      <c r="B58" s="230"/>
      <c r="C58" s="230"/>
      <c r="D58" s="230"/>
      <c r="E58" s="230"/>
      <c r="F58" s="230"/>
      <c r="G58" s="230"/>
      <c r="H58" s="230"/>
      <c r="I58" s="230"/>
      <c r="J58" s="231">
        <v>7798115</v>
      </c>
      <c r="K58" s="231"/>
      <c r="L58" s="231"/>
      <c r="M58" s="232" t="s">
        <v>77</v>
      </c>
      <c r="N58" s="231">
        <v>10009420</v>
      </c>
      <c r="O58" s="231"/>
      <c r="P58" s="233">
        <f t="shared" ref="P58:U58" si="26">+P55-O55</f>
        <v>761216</v>
      </c>
      <c r="Q58" s="233">
        <f t="shared" si="26"/>
        <v>1288081</v>
      </c>
      <c r="R58" s="234">
        <f t="shared" si="26"/>
        <v>1158837.8315771092</v>
      </c>
      <c r="S58" s="234">
        <f t="shared" si="26"/>
        <v>113640.31248180941</v>
      </c>
      <c r="T58" s="234">
        <f t="shared" si="26"/>
        <v>869661.74808083102</v>
      </c>
      <c r="U58" s="234">
        <f t="shared" si="26"/>
        <v>659423.72753425129</v>
      </c>
      <c r="V58" s="233">
        <f>+V55-R55</f>
        <v>-296247.23957000487</v>
      </c>
      <c r="W58" s="234">
        <f>+W55-R55</f>
        <v>324064.92330289073</v>
      </c>
      <c r="X58" s="229">
        <f>+X55-W55</f>
        <v>597628.68984000012</v>
      </c>
      <c r="Y58" s="233">
        <f>+Y55-X55</f>
        <v>721031.38657280244</v>
      </c>
      <c r="Z58" s="233">
        <f>+Z55-Y55</f>
        <v>734668.67516478337</v>
      </c>
      <c r="AA58" s="233">
        <f>+AA55-Z55</f>
        <v>698279.28357895836</v>
      </c>
      <c r="AB58" s="235">
        <f>+AB55-AA55</f>
        <v>727954.05745494738</v>
      </c>
      <c r="AC58" s="236">
        <v>925100</v>
      </c>
      <c r="AD58" s="190">
        <f>+AD55-AC55</f>
        <v>892745</v>
      </c>
      <c r="AE58" s="190">
        <f>+AE55-AD55</f>
        <v>966170</v>
      </c>
      <c r="AF58" s="190">
        <f>+AF55-AE55</f>
        <v>853400</v>
      </c>
      <c r="AG58" s="190">
        <f>+AG55-AF55</f>
        <v>896100</v>
      </c>
      <c r="AH58" s="190">
        <f>+AH55-AG55</f>
        <v>941000</v>
      </c>
      <c r="AK58" s="234"/>
      <c r="AL58" s="233">
        <f>+AL55-T55</f>
        <v>1059423.2799012102</v>
      </c>
      <c r="AM58" s="233">
        <f>+AM55-T55</f>
        <v>811745.4535634499</v>
      </c>
      <c r="AN58" s="160"/>
    </row>
    <row r="59" spans="1:40" x14ac:dyDescent="0.35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8" t="s">
        <v>97</v>
      </c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9"/>
      <c r="AJ59" s="239"/>
      <c r="AK59" s="239"/>
      <c r="AL59" s="239"/>
      <c r="AM59" s="239"/>
    </row>
    <row r="60" spans="1:40" ht="17.25" customHeight="1" x14ac:dyDescent="0.45">
      <c r="A60" s="239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40" t="s">
        <v>160</v>
      </c>
      <c r="V60" s="241"/>
      <c r="W60" s="242">
        <f>+W55-V55</f>
        <v>620312.1628728956</v>
      </c>
      <c r="X60" s="243"/>
      <c r="Y60" s="243"/>
      <c r="Z60" s="243"/>
      <c r="AA60" s="243"/>
      <c r="AB60" s="243"/>
      <c r="AC60" s="324" t="s">
        <v>98</v>
      </c>
      <c r="AD60" s="325"/>
      <c r="AE60" s="325"/>
      <c r="AF60" s="325"/>
      <c r="AG60" s="325"/>
      <c r="AH60" s="325"/>
      <c r="AI60" s="241"/>
      <c r="AJ60" s="241"/>
      <c r="AK60" s="241"/>
      <c r="AL60" s="244">
        <f>+AL55-U55</f>
        <v>399999.55236695893</v>
      </c>
      <c r="AM60" s="244">
        <f>+AM55-T55</f>
        <v>811745.4535634499</v>
      </c>
    </row>
    <row r="61" spans="1:40" ht="17.25" customHeight="1" x14ac:dyDescent="0.45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40" t="s">
        <v>160</v>
      </c>
      <c r="V61" s="243"/>
      <c r="W61" s="243"/>
      <c r="X61" s="243"/>
      <c r="Y61" s="243"/>
      <c r="Z61" s="245" t="s">
        <v>99</v>
      </c>
      <c r="AA61" s="245" t="s">
        <v>100</v>
      </c>
      <c r="AB61" s="245" t="s">
        <v>101</v>
      </c>
      <c r="AC61" s="246" t="s">
        <v>51</v>
      </c>
      <c r="AD61" s="246" t="s">
        <v>52</v>
      </c>
      <c r="AE61" s="246" t="s">
        <v>53</v>
      </c>
      <c r="AF61" s="246" t="s">
        <v>54</v>
      </c>
      <c r="AG61" s="246" t="s">
        <v>55</v>
      </c>
      <c r="AH61" s="246" t="s">
        <v>56</v>
      </c>
      <c r="AI61" s="241"/>
      <c r="AJ61" s="241"/>
      <c r="AK61" s="241"/>
      <c r="AL61" s="247">
        <f>+AL56-U56</f>
        <v>2.6714475518352494E-2</v>
      </c>
      <c r="AM61" s="247">
        <f>+AM56-T56</f>
        <v>-7.4494859299779823E-3</v>
      </c>
      <c r="AN61" s="160"/>
    </row>
    <row r="62" spans="1:40" ht="17.25" customHeight="1" x14ac:dyDescent="0.45">
      <c r="A62" s="172" t="s">
        <v>102</v>
      </c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248"/>
      <c r="V62" s="248"/>
      <c r="W62" s="248"/>
      <c r="X62" s="248"/>
      <c r="Y62" s="248"/>
      <c r="Z62" s="249" t="s">
        <v>103</v>
      </c>
      <c r="AA62" s="249" t="s">
        <v>104</v>
      </c>
      <c r="AB62" s="249" t="s">
        <v>105</v>
      </c>
      <c r="AC62" s="250" t="s">
        <v>106</v>
      </c>
      <c r="AD62" s="250" t="s">
        <v>52</v>
      </c>
      <c r="AE62" s="251" t="s">
        <v>53</v>
      </c>
      <c r="AF62" s="250" t="s">
        <v>107</v>
      </c>
      <c r="AG62" s="250" t="s">
        <v>55</v>
      </c>
      <c r="AH62" s="250" t="s">
        <v>56</v>
      </c>
      <c r="AI62" s="252"/>
      <c r="AJ62" s="252"/>
      <c r="AK62" s="252"/>
      <c r="AL62" s="253" t="s">
        <v>108</v>
      </c>
    </row>
    <row r="63" spans="1:40" ht="17.25" customHeight="1" x14ac:dyDescent="0.45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248"/>
      <c r="V63" s="248"/>
      <c r="W63" s="248"/>
      <c r="X63" s="248"/>
      <c r="Y63" s="248"/>
      <c r="Z63" s="249" t="s">
        <v>109</v>
      </c>
      <c r="AA63" s="249" t="s">
        <v>110</v>
      </c>
      <c r="AB63" s="249" t="s">
        <v>111</v>
      </c>
      <c r="AC63" s="250" t="s">
        <v>112</v>
      </c>
      <c r="AD63" s="250" t="s">
        <v>52</v>
      </c>
      <c r="AE63" s="251" t="s">
        <v>53</v>
      </c>
      <c r="AF63" s="250" t="s">
        <v>113</v>
      </c>
      <c r="AG63" s="250" t="s">
        <v>55</v>
      </c>
      <c r="AH63" s="250" t="s">
        <v>56</v>
      </c>
      <c r="AI63" s="252"/>
      <c r="AJ63" s="252"/>
      <c r="AK63" s="252"/>
      <c r="AL63" s="254" t="s">
        <v>114</v>
      </c>
    </row>
    <row r="64" spans="1:40" ht="13.5" customHeight="1" x14ac:dyDescent="0.4">
      <c r="A64" s="172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255" t="s">
        <v>115</v>
      </c>
      <c r="AA64" s="255" t="s">
        <v>116</v>
      </c>
      <c r="AB64" s="255" t="s">
        <v>117</v>
      </c>
      <c r="AC64" s="126" t="s">
        <v>118</v>
      </c>
      <c r="AD64" s="126" t="s">
        <v>52</v>
      </c>
      <c r="AE64" s="127" t="s">
        <v>53</v>
      </c>
      <c r="AF64" s="126" t="s">
        <v>119</v>
      </c>
      <c r="AG64" s="126" t="s">
        <v>55</v>
      </c>
      <c r="AH64" s="126" t="s">
        <v>56</v>
      </c>
    </row>
    <row r="65" spans="1:34" ht="13.5" customHeight="1" x14ac:dyDescent="0.4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255" t="s">
        <v>120</v>
      </c>
      <c r="AA65" s="255" t="s">
        <v>121</v>
      </c>
      <c r="AB65" s="255" t="s">
        <v>122</v>
      </c>
      <c r="AC65" s="126" t="s">
        <v>123</v>
      </c>
      <c r="AD65" s="126" t="s">
        <v>52</v>
      </c>
      <c r="AE65" s="127" t="s">
        <v>53</v>
      </c>
      <c r="AF65" s="126" t="s">
        <v>124</v>
      </c>
      <c r="AG65" s="126" t="s">
        <v>55</v>
      </c>
      <c r="AH65" s="126" t="s">
        <v>56</v>
      </c>
    </row>
    <row r="66" spans="1:34" ht="13.5" customHeight="1" x14ac:dyDescent="0.4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255" t="s">
        <v>125</v>
      </c>
      <c r="AA66" s="255" t="s">
        <v>126</v>
      </c>
      <c r="AB66" s="255" t="s">
        <v>127</v>
      </c>
      <c r="AC66" s="126" t="s">
        <v>128</v>
      </c>
      <c r="AD66" s="126" t="s">
        <v>52</v>
      </c>
      <c r="AE66" s="127" t="s">
        <v>53</v>
      </c>
      <c r="AF66" s="126" t="s">
        <v>129</v>
      </c>
      <c r="AG66" s="126" t="s">
        <v>55</v>
      </c>
      <c r="AH66" s="126" t="s">
        <v>56</v>
      </c>
    </row>
    <row r="67" spans="1:34" ht="13.5" customHeight="1" x14ac:dyDescent="0.4">
      <c r="A67" s="17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255" t="s">
        <v>130</v>
      </c>
      <c r="AA67" s="255" t="s">
        <v>131</v>
      </c>
      <c r="AB67" s="255" t="s">
        <v>132</v>
      </c>
      <c r="AC67" s="126" t="s">
        <v>133</v>
      </c>
      <c r="AD67" s="126" t="s">
        <v>52</v>
      </c>
      <c r="AE67" s="127" t="s">
        <v>53</v>
      </c>
      <c r="AF67" s="126" t="s">
        <v>134</v>
      </c>
      <c r="AG67" s="126" t="s">
        <v>55</v>
      </c>
      <c r="AH67" s="126" t="s">
        <v>56</v>
      </c>
    </row>
    <row r="68" spans="1:34" x14ac:dyDescent="0.35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28" t="e">
        <f t="shared" ref="AC68:AH68" si="27">+AC62-AC65</f>
        <v>#VALUE!</v>
      </c>
      <c r="AD68" s="128" t="e">
        <f t="shared" si="27"/>
        <v>#VALUE!</v>
      </c>
      <c r="AE68" s="128" t="e">
        <f t="shared" si="27"/>
        <v>#VALUE!</v>
      </c>
      <c r="AF68" s="128" t="e">
        <f t="shared" si="27"/>
        <v>#VALUE!</v>
      </c>
      <c r="AG68" s="128" t="e">
        <f t="shared" si="27"/>
        <v>#VALUE!</v>
      </c>
      <c r="AH68" s="128" t="e">
        <f t="shared" si="27"/>
        <v>#VALUE!</v>
      </c>
    </row>
    <row r="69" spans="1:34" x14ac:dyDescent="0.3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</row>
    <row r="70" spans="1:34" ht="15" x14ac:dyDescent="0.4">
      <c r="V70" s="163" t="s">
        <v>135</v>
      </c>
      <c r="W70" s="256">
        <v>13821028</v>
      </c>
      <c r="X70" s="257">
        <v>14391293.356597248</v>
      </c>
      <c r="Y70" s="222">
        <v>15078065.363783821</v>
      </c>
      <c r="Z70" s="222">
        <v>15893651.626643037</v>
      </c>
      <c r="AA70" s="222">
        <v>16572164.568013309</v>
      </c>
      <c r="AB70" s="258">
        <v>17279528.702090576</v>
      </c>
    </row>
    <row r="71" spans="1:34" x14ac:dyDescent="0.35">
      <c r="X71" s="172">
        <v>4.2</v>
      </c>
      <c r="Y71" s="172">
        <v>4.8</v>
      </c>
      <c r="Z71" s="172">
        <v>5.4</v>
      </c>
      <c r="AA71" s="172">
        <v>4.3</v>
      </c>
      <c r="AB71" s="172">
        <v>4.3</v>
      </c>
    </row>
    <row r="72" spans="1:34" ht="15" x14ac:dyDescent="0.4">
      <c r="V72" s="163" t="s">
        <v>136</v>
      </c>
      <c r="W72" s="256">
        <f>+W55-W70</f>
        <v>492873.75487999991</v>
      </c>
      <c r="X72" s="257">
        <f t="shared" ref="X72:AB72" si="28">+X55-X70</f>
        <v>520237.08812275156</v>
      </c>
      <c r="Y72" s="222">
        <f t="shared" si="28"/>
        <v>554496.467508981</v>
      </c>
      <c r="Z72" s="222">
        <f t="shared" si="28"/>
        <v>473578.87981454842</v>
      </c>
      <c r="AA72" s="222">
        <f t="shared" si="28"/>
        <v>493345.22202323563</v>
      </c>
      <c r="AB72" s="258">
        <f t="shared" si="28"/>
        <v>513935.14540091529</v>
      </c>
    </row>
    <row r="73" spans="1:34" x14ac:dyDescent="0.35">
      <c r="X73" s="172"/>
      <c r="Y73" s="172"/>
      <c r="Z73" s="172"/>
      <c r="AA73" s="172"/>
      <c r="AB73" s="172"/>
    </row>
    <row r="74" spans="1:34" x14ac:dyDescent="0.35">
      <c r="X74" s="172"/>
      <c r="Y74" s="172"/>
      <c r="Z74" s="172"/>
      <c r="AA74" s="172"/>
      <c r="AB74" s="172"/>
    </row>
    <row r="75" spans="1:34" x14ac:dyDescent="0.35">
      <c r="X75" s="172"/>
      <c r="Y75" s="172"/>
      <c r="Z75" s="172"/>
      <c r="AA75" s="172"/>
      <c r="AB75" s="172"/>
    </row>
    <row r="76" spans="1:34" x14ac:dyDescent="0.35">
      <c r="X76" s="172"/>
      <c r="Y76" s="172"/>
      <c r="Z76" s="172"/>
      <c r="AA76" s="172"/>
      <c r="AB76" s="172"/>
    </row>
    <row r="77" spans="1:34" x14ac:dyDescent="0.35">
      <c r="X77" s="172"/>
      <c r="Y77" s="172"/>
      <c r="Z77" s="172"/>
      <c r="AA77" s="172"/>
      <c r="AB77" s="172"/>
    </row>
    <row r="78" spans="1:34" x14ac:dyDescent="0.35">
      <c r="X78" s="172"/>
      <c r="Y78" s="172"/>
      <c r="Z78" s="172"/>
      <c r="AA78" s="172"/>
      <c r="AB78" s="172"/>
    </row>
    <row r="79" spans="1:34" x14ac:dyDescent="0.35">
      <c r="X79" s="172"/>
      <c r="Y79" s="172"/>
      <c r="Z79" s="172"/>
      <c r="AA79" s="172"/>
      <c r="AB79" s="172"/>
    </row>
  </sheetData>
  <mergeCells count="4">
    <mergeCell ref="AG5:AL5"/>
    <mergeCell ref="AG9:AL9"/>
    <mergeCell ref="AG12:AL12"/>
    <mergeCell ref="AC60:AH60"/>
  </mergeCells>
  <hyperlinks>
    <hyperlink ref="AL63" r:id="rId1"/>
  </hyperlinks>
  <pageMargins left="0.70866141732283472" right="0.19" top="0.74803149606299213" bottom="0.74803149606299213" header="0.31496062992125984" footer="0.31496062992125984"/>
  <pageSetup paperSize="9" scale="76" orientation="landscape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B99"/>
  <sheetViews>
    <sheetView zoomScale="90" zoomScaleNormal="90" workbookViewId="0">
      <pane xSplit="1" ySplit="3" topLeftCell="Q4" activePane="bottomRight" state="frozen"/>
      <selection activeCell="H42" sqref="H42"/>
      <selection pane="topRight" activeCell="H42" sqref="H42"/>
      <selection pane="bottomLeft" activeCell="H42" sqref="H42"/>
      <selection pane="bottomRight" activeCell="AQ57" sqref="AQ57"/>
    </sheetView>
  </sheetViews>
  <sheetFormatPr defaultColWidth="9.1328125" defaultRowHeight="12.75" outlineLevelCol="1" x14ac:dyDescent="0.35"/>
  <cols>
    <col min="1" max="1" width="31.6640625" style="112" customWidth="1"/>
    <col min="2" max="2" width="10.53125" style="112" hidden="1" customWidth="1" outlineLevel="1"/>
    <col min="3" max="3" width="10.33203125" style="112" hidden="1" customWidth="1" outlineLevel="1"/>
    <col min="4" max="4" width="11" style="112" hidden="1" customWidth="1" outlineLevel="1"/>
    <col min="5" max="6" width="9.6640625" style="112" hidden="1" customWidth="1"/>
    <col min="7" max="13" width="10.6640625" style="112" hidden="1" customWidth="1"/>
    <col min="14" max="15" width="13" style="112" hidden="1" customWidth="1"/>
    <col min="16" max="16" width="11.6640625" style="112" hidden="1" customWidth="1"/>
    <col min="17" max="19" width="11.86328125" style="112" customWidth="1"/>
    <col min="20" max="20" width="11.1328125" style="112" hidden="1" customWidth="1"/>
    <col min="21" max="21" width="12" style="112" hidden="1" customWidth="1"/>
    <col min="22" max="22" width="12.53125" style="112" hidden="1" customWidth="1"/>
    <col min="23" max="28" width="12" style="112" hidden="1" customWidth="1"/>
    <col min="29" max="34" width="12.1328125" style="112" hidden="1" customWidth="1"/>
    <col min="35" max="36" width="0" style="112" hidden="1" customWidth="1"/>
    <col min="37" max="38" width="12.6640625" style="112" customWidth="1"/>
    <col min="39" max="42" width="12.6640625" style="112" hidden="1" customWidth="1"/>
    <col min="43" max="43" width="12.6640625" style="112" customWidth="1"/>
    <col min="44" max="44" width="11.53125" style="112" customWidth="1"/>
    <col min="45" max="46" width="9.1328125" style="112"/>
    <col min="47" max="47" width="11.59765625" style="112" customWidth="1"/>
    <col min="48" max="48" width="12.59765625" style="112" customWidth="1"/>
    <col min="49" max="49" width="11.59765625" style="112" customWidth="1"/>
    <col min="50" max="54" width="11.1328125" style="112" customWidth="1"/>
    <col min="55" max="16384" width="9.1328125" style="112"/>
  </cols>
  <sheetData>
    <row r="1" spans="1:38" ht="15" hidden="1" x14ac:dyDescent="0.4">
      <c r="A1" s="111" t="s">
        <v>43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38" hidden="1" x14ac:dyDescent="0.35"/>
    <row r="3" spans="1:38" s="116" customFormat="1" ht="26.25" hidden="1" customHeight="1" thickBot="1" x14ac:dyDescent="0.4">
      <c r="A3" s="113" t="s">
        <v>44</v>
      </c>
      <c r="B3" s="114">
        <f t="shared" ref="B3:H3" si="0">C3-1</f>
        <v>2003</v>
      </c>
      <c r="C3" s="114">
        <f t="shared" si="0"/>
        <v>2004</v>
      </c>
      <c r="D3" s="114">
        <f t="shared" si="0"/>
        <v>2005</v>
      </c>
      <c r="E3" s="114">
        <f t="shared" si="0"/>
        <v>2006</v>
      </c>
      <c r="F3" s="114">
        <f t="shared" si="0"/>
        <v>2007</v>
      </c>
      <c r="G3" s="114">
        <f t="shared" si="0"/>
        <v>2008</v>
      </c>
      <c r="H3" s="114">
        <f t="shared" si="0"/>
        <v>2009</v>
      </c>
      <c r="I3" s="114">
        <v>2010</v>
      </c>
      <c r="J3" s="114">
        <v>2011</v>
      </c>
      <c r="K3" s="114">
        <v>2012</v>
      </c>
      <c r="L3" s="114">
        <v>2013</v>
      </c>
      <c r="M3" s="114">
        <v>2014</v>
      </c>
      <c r="N3" s="114">
        <v>2015</v>
      </c>
      <c r="O3" s="114">
        <v>2016</v>
      </c>
      <c r="P3" s="114">
        <v>2017</v>
      </c>
      <c r="Q3" s="114">
        <v>2018</v>
      </c>
      <c r="R3" s="115" t="s">
        <v>45</v>
      </c>
      <c r="S3" s="115"/>
      <c r="T3" s="115"/>
      <c r="U3" s="115" t="s">
        <v>46</v>
      </c>
      <c r="V3" s="114">
        <v>2021</v>
      </c>
      <c r="W3" s="114">
        <v>2022</v>
      </c>
      <c r="X3" s="114">
        <v>2023</v>
      </c>
      <c r="Y3" s="114">
        <v>2024</v>
      </c>
      <c r="Z3" s="114">
        <v>2025</v>
      </c>
    </row>
    <row r="4" spans="1:38" s="116" customFormat="1" ht="12" hidden="1" customHeight="1" x14ac:dyDescent="0.35">
      <c r="A4" s="117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38" ht="15.4" hidden="1" x14ac:dyDescent="0.45">
      <c r="A5" s="119" t="s">
        <v>47</v>
      </c>
      <c r="B5" s="120">
        <v>8675</v>
      </c>
      <c r="C5" s="120">
        <v>8740</v>
      </c>
      <c r="D5" s="119">
        <v>8744</v>
      </c>
      <c r="E5" s="119">
        <v>8897</v>
      </c>
      <c r="F5" s="119">
        <v>8980</v>
      </c>
      <c r="G5" s="119">
        <v>8826</v>
      </c>
      <c r="H5" s="119">
        <v>8170</v>
      </c>
      <c r="I5" s="119">
        <v>7728</v>
      </c>
      <c r="J5" s="119">
        <v>7669</v>
      </c>
      <c r="K5" s="119">
        <v>7746</v>
      </c>
      <c r="L5" s="119">
        <v>7797</v>
      </c>
      <c r="M5" s="119">
        <v>7700</v>
      </c>
      <c r="N5" s="119">
        <v>7890</v>
      </c>
      <c r="O5" s="119">
        <v>7836</v>
      </c>
      <c r="P5" s="119">
        <v>7835</v>
      </c>
      <c r="Q5" s="119">
        <v>7825</v>
      </c>
      <c r="R5" s="119">
        <v>7890</v>
      </c>
      <c r="S5" s="119"/>
      <c r="T5" s="119"/>
      <c r="U5" s="119">
        <v>7890</v>
      </c>
      <c r="V5" s="119">
        <v>7890</v>
      </c>
      <c r="W5" s="119">
        <v>7890</v>
      </c>
      <c r="X5" s="119">
        <v>7890</v>
      </c>
      <c r="Y5" s="119">
        <v>7890</v>
      </c>
      <c r="Z5" s="119">
        <v>7890</v>
      </c>
      <c r="AA5" s="121">
        <v>1</v>
      </c>
      <c r="AB5" s="122" t="s">
        <v>48</v>
      </c>
      <c r="AC5" s="121"/>
      <c r="AG5" s="320" t="s">
        <v>49</v>
      </c>
      <c r="AH5" s="321"/>
      <c r="AI5" s="321"/>
      <c r="AJ5" s="321"/>
      <c r="AK5" s="321"/>
      <c r="AL5" s="321"/>
    </row>
    <row r="6" spans="1:38" ht="26.65" hidden="1" x14ac:dyDescent="0.45">
      <c r="A6" s="123" t="s">
        <v>50</v>
      </c>
      <c r="B6" s="123"/>
      <c r="C6" s="124">
        <f t="shared" ref="C6:I6" si="1">(C5-B5)/B5</f>
        <v>7.492795389048991E-3</v>
      </c>
      <c r="D6" s="124">
        <f t="shared" si="1"/>
        <v>4.5766590389016021E-4</v>
      </c>
      <c r="E6" s="124">
        <f t="shared" si="1"/>
        <v>1.7497712717291856E-2</v>
      </c>
      <c r="F6" s="124">
        <f t="shared" si="1"/>
        <v>9.3289872990895816E-3</v>
      </c>
      <c r="G6" s="124">
        <f t="shared" si="1"/>
        <v>-1.7149220489977728E-2</v>
      </c>
      <c r="H6" s="124">
        <f t="shared" si="1"/>
        <v>-7.4325855427147064E-2</v>
      </c>
      <c r="I6" s="124">
        <f t="shared" si="1"/>
        <v>-5.4100367197062425E-2</v>
      </c>
      <c r="J6" s="124">
        <f>(J5-I5)/I5</f>
        <v>-7.634575569358178E-3</v>
      </c>
      <c r="K6" s="124">
        <f>(K5-J5)/J5</f>
        <v>1.0040422480114749E-2</v>
      </c>
      <c r="L6" s="124">
        <f t="shared" ref="L6:V6" si="2">(L5-K5)/K5</f>
        <v>6.5840433772269558E-3</v>
      </c>
      <c r="M6" s="124">
        <f t="shared" si="2"/>
        <v>-1.2440682313710401E-2</v>
      </c>
      <c r="N6" s="124">
        <f>(N5-M5)/M5</f>
        <v>2.4675324675324677E-2</v>
      </c>
      <c r="O6" s="125">
        <f>(O5-N5)/N5</f>
        <v>-6.8441064638783272E-3</v>
      </c>
      <c r="P6" s="125">
        <f t="shared" si="2"/>
        <v>-1.2761613067891782E-4</v>
      </c>
      <c r="Q6" s="125">
        <f t="shared" si="2"/>
        <v>-1.2763241863433313E-3</v>
      </c>
      <c r="R6" s="124">
        <f t="shared" si="2"/>
        <v>8.3067092651757189E-3</v>
      </c>
      <c r="S6" s="124"/>
      <c r="T6" s="124"/>
      <c r="U6" s="124">
        <f>(U5-R5)/R5</f>
        <v>0</v>
      </c>
      <c r="V6" s="124">
        <f t="shared" si="2"/>
        <v>0</v>
      </c>
      <c r="W6" s="124">
        <f>(W5-V5)/V5</f>
        <v>0</v>
      </c>
      <c r="X6" s="124">
        <f>(X5-W5)/W5</f>
        <v>0</v>
      </c>
      <c r="Y6" s="124">
        <f>(Y5-X5)/X5</f>
        <v>0</v>
      </c>
      <c r="Z6" s="124">
        <f>(Z5-Y5)/Y5</f>
        <v>0</v>
      </c>
      <c r="AG6" s="126" t="s">
        <v>51</v>
      </c>
      <c r="AH6" s="126" t="s">
        <v>52</v>
      </c>
      <c r="AI6" s="127" t="s">
        <v>53</v>
      </c>
      <c r="AJ6" s="126" t="s">
        <v>54</v>
      </c>
      <c r="AK6" s="126"/>
      <c r="AL6" s="126" t="s">
        <v>56</v>
      </c>
    </row>
    <row r="7" spans="1:38" ht="15.4" hidden="1" x14ac:dyDescent="0.45">
      <c r="A7" s="123" t="s">
        <v>57</v>
      </c>
      <c r="B7" s="123">
        <v>40351611</v>
      </c>
      <c r="C7" s="123">
        <v>44619420</v>
      </c>
      <c r="D7" s="123">
        <v>49834590.518067829</v>
      </c>
      <c r="E7" s="123">
        <v>59127518.949803799</v>
      </c>
      <c r="F7" s="123">
        <v>71969718.085718304</v>
      </c>
      <c r="G7" s="123">
        <v>81255816.215663463</v>
      </c>
      <c r="H7" s="123">
        <v>70277384.86316517</v>
      </c>
      <c r="I7" s="123">
        <v>64838618.933186769</v>
      </c>
      <c r="J7" s="123">
        <v>67491154</v>
      </c>
      <c r="K7" s="123">
        <f t="shared" ref="K7:U7" si="3">K9*K5*12</f>
        <v>72593011.591199994</v>
      </c>
      <c r="L7" s="123">
        <f t="shared" si="3"/>
        <v>77473448.054999992</v>
      </c>
      <c r="M7" s="123">
        <f t="shared" si="3"/>
        <v>82189438.716000006</v>
      </c>
      <c r="N7" s="123">
        <f t="shared" si="3"/>
        <v>88525800</v>
      </c>
      <c r="O7" s="123">
        <f t="shared" si="3"/>
        <v>92941228.799999997</v>
      </c>
      <c r="P7" s="123">
        <f t="shared" si="3"/>
        <v>98062860</v>
      </c>
      <c r="Q7" s="123">
        <f>Q9*Q5*12</f>
        <v>107295647.23500001</v>
      </c>
      <c r="R7" s="123">
        <f>R9*R5*12</f>
        <v>119781313.30364093</v>
      </c>
      <c r="S7" s="123"/>
      <c r="T7" s="123"/>
      <c r="U7" s="123">
        <f t="shared" si="3"/>
        <v>127216139.42039794</v>
      </c>
      <c r="V7" s="123">
        <f>V9*V5*12</f>
        <v>134681182.4815869</v>
      </c>
      <c r="W7" s="123">
        <f>W9*W5*12</f>
        <v>142759359.80683246</v>
      </c>
      <c r="X7" s="123">
        <f>X9*X5*12</f>
        <v>149895329.16613677</v>
      </c>
      <c r="Y7" s="123">
        <f>Y9*Y5*12</f>
        <v>157387697.29917699</v>
      </c>
      <c r="Z7" s="123">
        <f>Z9*Z5*12</f>
        <v>165255036.12407094</v>
      </c>
      <c r="AG7" s="128">
        <v>1265</v>
      </c>
      <c r="AH7" s="128">
        <v>2257</v>
      </c>
      <c r="AI7" s="128">
        <v>1762</v>
      </c>
      <c r="AJ7" s="128">
        <v>9531</v>
      </c>
      <c r="AK7" s="128"/>
      <c r="AL7" s="128">
        <v>17092</v>
      </c>
    </row>
    <row r="8" spans="1:38" ht="15.4" hidden="1" x14ac:dyDescent="0.45">
      <c r="A8" s="129"/>
      <c r="B8" s="129"/>
      <c r="C8" s="129"/>
      <c r="D8" s="129"/>
      <c r="E8" s="129"/>
      <c r="F8" s="129"/>
      <c r="G8" s="130"/>
      <c r="H8" s="130"/>
      <c r="I8" s="130"/>
      <c r="J8" s="130"/>
      <c r="K8" s="130"/>
      <c r="L8" s="131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G8" s="128"/>
      <c r="AH8" s="128"/>
      <c r="AI8" s="128"/>
      <c r="AJ8" s="128"/>
      <c r="AK8" s="128"/>
      <c r="AL8" s="128"/>
    </row>
    <row r="9" spans="1:38" ht="17.25" hidden="1" customHeight="1" x14ac:dyDescent="0.45">
      <c r="A9" s="133" t="s">
        <v>58</v>
      </c>
      <c r="B9" s="133">
        <f>B7/B5/12</f>
        <v>387.62354466858784</v>
      </c>
      <c r="C9" s="133">
        <f t="shared" ref="C9:J9" si="4">C7/C5/12</f>
        <v>425.43306636155603</v>
      </c>
      <c r="D9" s="133">
        <f t="shared" si="4"/>
        <v>474.94082149729178</v>
      </c>
      <c r="E9" s="133">
        <f t="shared" si="4"/>
        <v>553.81513384477728</v>
      </c>
      <c r="F9" s="133">
        <f t="shared" si="4"/>
        <v>667.87043509389662</v>
      </c>
      <c r="G9" s="133">
        <f t="shared" si="4"/>
        <v>767.20122569362741</v>
      </c>
      <c r="H9" s="133">
        <f t="shared" si="4"/>
        <v>716.82359101555664</v>
      </c>
      <c r="I9" s="133">
        <f>I7/I5/12</f>
        <v>699.17420347207963</v>
      </c>
      <c r="J9" s="133">
        <f t="shared" si="4"/>
        <v>733.37629851784243</v>
      </c>
      <c r="K9" s="133">
        <v>780.97310000000004</v>
      </c>
      <c r="L9" s="133">
        <v>828.02625</v>
      </c>
      <c r="M9" s="133">
        <v>889.49608999999998</v>
      </c>
      <c r="N9" s="133">
        <v>935</v>
      </c>
      <c r="O9" s="133">
        <v>988.4</v>
      </c>
      <c r="P9" s="133">
        <v>1043</v>
      </c>
      <c r="Q9" s="133">
        <f>+P9*1.09555</f>
        <v>1142.6586500000001</v>
      </c>
      <c r="R9" s="133">
        <f>+Q9*1.10717</f>
        <v>1265.1173775205</v>
      </c>
      <c r="S9" s="133"/>
      <c r="T9" s="133"/>
      <c r="U9" s="133">
        <f>+R9*1.06207</f>
        <v>1343.6432131431975</v>
      </c>
      <c r="V9" s="133">
        <f>+U9*1.05868</f>
        <v>1422.4881968904403</v>
      </c>
      <c r="W9" s="133">
        <f>+V9*1.05998</f>
        <v>1507.8090389399288</v>
      </c>
      <c r="X9" s="133">
        <f>+W9*1.049986</f>
        <v>1583.1783815603801</v>
      </c>
      <c r="Y9" s="133">
        <f>+X9*1.049984</f>
        <v>1662.3119697842942</v>
      </c>
      <c r="Z9" s="133">
        <f>+Y9*1.049987</f>
        <v>1745.4059582179018</v>
      </c>
      <c r="AG9" s="322" t="s">
        <v>59</v>
      </c>
      <c r="AH9" s="323"/>
      <c r="AI9" s="323"/>
      <c r="AJ9" s="323"/>
      <c r="AK9" s="323"/>
      <c r="AL9" s="323"/>
    </row>
    <row r="10" spans="1:38" ht="15.4" hidden="1" x14ac:dyDescent="0.45">
      <c r="A10" s="129" t="s">
        <v>60</v>
      </c>
      <c r="B10" s="134"/>
      <c r="C10" s="135">
        <f t="shared" ref="C10:V10" si="5">(C9-B9)/B9</f>
        <v>9.7541860428769223E-2</v>
      </c>
      <c r="D10" s="135">
        <f t="shared" si="5"/>
        <v>0.11637025668724438</v>
      </c>
      <c r="E10" s="135">
        <f t="shared" si="5"/>
        <v>0.16607187417334954</v>
      </c>
      <c r="F10" s="135">
        <f t="shared" si="5"/>
        <v>0.20594471743180395</v>
      </c>
      <c r="G10" s="135">
        <f t="shared" si="5"/>
        <v>0.14872763545187589</v>
      </c>
      <c r="H10" s="135">
        <f t="shared" si="5"/>
        <v>-6.5664173871104403E-2</v>
      </c>
      <c r="I10" s="135">
        <f t="shared" si="5"/>
        <v>-2.4621661123725474E-2</v>
      </c>
      <c r="J10" s="135">
        <f t="shared" si="5"/>
        <v>4.8917844617144268E-2</v>
      </c>
      <c r="K10" s="124">
        <f t="shared" si="5"/>
        <v>6.490092682072085E-2</v>
      </c>
      <c r="L10" s="124">
        <f t="shared" si="5"/>
        <v>6.0249386310488741E-2</v>
      </c>
      <c r="M10" s="124">
        <f t="shared" si="5"/>
        <v>7.423658368318635E-2</v>
      </c>
      <c r="N10" s="124">
        <f>(N9-M9)/M9</f>
        <v>5.115695337120596E-2</v>
      </c>
      <c r="O10" s="124">
        <f>(O9-N9)/N9</f>
        <v>5.7112299465240615E-2</v>
      </c>
      <c r="P10" s="136">
        <f t="shared" si="5"/>
        <v>5.5240793201133169E-2</v>
      </c>
      <c r="Q10" s="136">
        <f>(Q9-P9)/P9</f>
        <v>9.5550000000000079E-2</v>
      </c>
      <c r="R10" s="136">
        <f>(R9-Q9)/Q9</f>
        <v>0.1071699999999999</v>
      </c>
      <c r="S10" s="136"/>
      <c r="T10" s="136"/>
      <c r="U10" s="136">
        <f>(U9-R9)/R9</f>
        <v>6.2070000000000063E-2</v>
      </c>
      <c r="V10" s="136">
        <f t="shared" si="5"/>
        <v>5.8680000000000017E-2</v>
      </c>
      <c r="W10" s="136">
        <f>(W9-V9)/V9</f>
        <v>5.9979999999999867E-2</v>
      </c>
      <c r="X10" s="136">
        <f>(X9-W9)/W9</f>
        <v>4.9986000000000037E-2</v>
      </c>
      <c r="Y10" s="136">
        <f>(Y9-X9)/X9</f>
        <v>4.9984000000000042E-2</v>
      </c>
      <c r="Z10" s="136">
        <f>(Z9-Y9)/Y9</f>
        <v>4.9987000000000045E-2</v>
      </c>
      <c r="AA10" s="137">
        <v>1</v>
      </c>
      <c r="AB10" s="122" t="s">
        <v>61</v>
      </c>
      <c r="AC10" s="121"/>
      <c r="AG10" s="138">
        <v>1296</v>
      </c>
      <c r="AH10" s="138">
        <v>2274</v>
      </c>
      <c r="AI10" s="138">
        <v>1777</v>
      </c>
      <c r="AJ10" s="138">
        <v>9746</v>
      </c>
      <c r="AK10" s="138"/>
      <c r="AL10" s="138">
        <v>17338</v>
      </c>
    </row>
    <row r="11" spans="1:38" ht="15.4" hidden="1" x14ac:dyDescent="0.45">
      <c r="A11" s="129" t="s">
        <v>62</v>
      </c>
      <c r="B11" s="134">
        <v>0.11506352087114347</v>
      </c>
      <c r="C11" s="135">
        <v>9.423828125E-2</v>
      </c>
      <c r="D11" s="135">
        <v>8.389112003569843E-2</v>
      </c>
      <c r="E11" s="135">
        <v>0.10786331823795803</v>
      </c>
      <c r="F11" s="135">
        <v>0.16524216524216517</v>
      </c>
      <c r="G11" s="135">
        <v>0.20499999999999999</v>
      </c>
      <c r="H11" s="135">
        <v>0.13902611150317568</v>
      </c>
      <c r="I11" s="135">
        <v>-5.0185870768587382E-2</v>
      </c>
      <c r="J11" s="135">
        <v>9.1086988385304934E-3</v>
      </c>
      <c r="K11" s="124">
        <v>3.5250000000000004E-2</v>
      </c>
      <c r="L11" s="124">
        <v>4.2000000000000003E-2</v>
      </c>
      <c r="M11" s="124">
        <v>4.6000000000000041E-2</v>
      </c>
      <c r="N11" s="124">
        <v>5.0000000000000044E-2</v>
      </c>
      <c r="O11" s="124">
        <v>5.2000000000000046E-2</v>
      </c>
      <c r="P11" s="136">
        <v>6.0581099999999832E-2</v>
      </c>
      <c r="Q11" s="136">
        <v>6.2370574999999873E-2</v>
      </c>
      <c r="R11" s="136">
        <v>6.2370574999999873E-2</v>
      </c>
      <c r="S11" s="136"/>
      <c r="T11" s="136"/>
      <c r="U11" s="136">
        <v>6.2370574999999873E-2</v>
      </c>
      <c r="V11" s="136">
        <v>1.0623705750000001</v>
      </c>
      <c r="W11" s="136">
        <v>2.0623705750000001</v>
      </c>
      <c r="X11" s="136">
        <v>3.0623705750000001</v>
      </c>
      <c r="Y11" s="136">
        <v>4.0623705750000001</v>
      </c>
      <c r="Z11" s="136">
        <v>5.0623705750000001</v>
      </c>
      <c r="AA11" s="139"/>
      <c r="AG11" s="138"/>
      <c r="AH11" s="138"/>
      <c r="AI11" s="138"/>
      <c r="AJ11" s="138"/>
      <c r="AK11" s="138"/>
      <c r="AL11" s="138"/>
    </row>
    <row r="12" spans="1:38" ht="15.4" hidden="1" x14ac:dyDescent="0.45">
      <c r="A12" s="129" t="s">
        <v>63</v>
      </c>
      <c r="B12" s="134"/>
      <c r="C12" s="135"/>
      <c r="D12" s="135"/>
      <c r="E12" s="135"/>
      <c r="F12" s="135"/>
      <c r="G12" s="135"/>
      <c r="H12" s="135"/>
      <c r="I12" s="135"/>
      <c r="J12" s="135"/>
      <c r="K12" s="124"/>
      <c r="L12" s="124"/>
      <c r="M12" s="124"/>
      <c r="N12" s="124"/>
      <c r="O12" s="124"/>
      <c r="P12" s="136">
        <v>1.4735994780322E-2</v>
      </c>
      <c r="Q12" s="136">
        <v>8.3090802600220195E-3</v>
      </c>
      <c r="R12" s="136"/>
      <c r="S12" s="136"/>
      <c r="T12" s="136"/>
      <c r="U12" s="136"/>
      <c r="V12" s="136"/>
      <c r="W12" s="136"/>
      <c r="X12" s="136"/>
      <c r="Y12" s="136"/>
      <c r="Z12" s="136"/>
      <c r="AA12" s="139"/>
      <c r="AG12" s="322" t="s">
        <v>64</v>
      </c>
      <c r="AH12" s="323" t="s">
        <v>64</v>
      </c>
      <c r="AI12" s="323" t="s">
        <v>64</v>
      </c>
      <c r="AJ12" s="323" t="s">
        <v>64</v>
      </c>
      <c r="AK12" s="323"/>
      <c r="AL12" s="323" t="s">
        <v>64</v>
      </c>
    </row>
    <row r="13" spans="1:38" ht="15.4" hidden="1" x14ac:dyDescent="0.45">
      <c r="A13" s="140"/>
      <c r="B13" s="140"/>
      <c r="C13" s="140"/>
      <c r="D13" s="140"/>
      <c r="E13" s="140"/>
      <c r="F13" s="140"/>
      <c r="G13" s="141"/>
      <c r="H13" s="142"/>
      <c r="I13" s="142"/>
      <c r="J13" s="141"/>
      <c r="K13" s="141"/>
      <c r="L13" s="143"/>
      <c r="M13" s="144"/>
      <c r="N13" s="144"/>
      <c r="O13" s="144"/>
      <c r="P13" s="144"/>
      <c r="Q13" s="145"/>
      <c r="R13" s="144"/>
      <c r="S13" s="144"/>
      <c r="T13" s="144"/>
      <c r="U13" s="144"/>
      <c r="V13" s="144"/>
      <c r="W13" s="144"/>
      <c r="X13" s="144"/>
      <c r="Y13" s="144"/>
      <c r="Z13" s="144"/>
      <c r="AG13" s="128">
        <f t="shared" ref="AG13:AL13" si="6">+AG7-AG10</f>
        <v>-31</v>
      </c>
      <c r="AH13" s="128">
        <f t="shared" si="6"/>
        <v>-17</v>
      </c>
      <c r="AI13" s="128">
        <f t="shared" si="6"/>
        <v>-15</v>
      </c>
      <c r="AJ13" s="128">
        <f t="shared" si="6"/>
        <v>-215</v>
      </c>
      <c r="AK13" s="128"/>
      <c r="AL13" s="128">
        <f t="shared" si="6"/>
        <v>-246</v>
      </c>
    </row>
    <row r="14" spans="1:38" ht="15" hidden="1" x14ac:dyDescent="0.4">
      <c r="A14" s="146" t="s">
        <v>65</v>
      </c>
      <c r="B14" s="146">
        <v>4637346</v>
      </c>
      <c r="C14" s="146">
        <v>5253387</v>
      </c>
      <c r="D14" s="146">
        <v>5759297.4192476328</v>
      </c>
      <c r="E14" s="146">
        <v>6967735.6742039807</v>
      </c>
      <c r="F14" s="146">
        <v>8524990.7328109629</v>
      </c>
      <c r="G14" s="146">
        <v>9817542.9166719895</v>
      </c>
      <c r="H14" s="146">
        <v>8291618.6340802489</v>
      </c>
      <c r="I14" s="146">
        <v>7464842.4577863561</v>
      </c>
      <c r="J14" s="146">
        <v>7798115</v>
      </c>
      <c r="K14" s="146">
        <f>K7*K16-1</f>
        <v>8275602.3213967998</v>
      </c>
      <c r="L14" s="146">
        <f>L7*L16-1</f>
        <v>8963676.9399634991</v>
      </c>
      <c r="M14" s="146">
        <f>M7*M16</f>
        <v>9533974.8910560012</v>
      </c>
      <c r="N14" s="146">
        <f>N7*N16+1543</f>
        <v>10270535.800000001</v>
      </c>
      <c r="O14" s="146">
        <f>CEILING((O7*O16),100)+502</f>
        <v>10781702</v>
      </c>
      <c r="P14" s="146">
        <f>+P7*P16+(P7*P16*P12)</f>
        <v>11542918</v>
      </c>
      <c r="Q14" s="146">
        <f>+Q7*Q16+(Q7*Q16*Q12)</f>
        <v>12830999</v>
      </c>
      <c r="R14" s="146">
        <f>CEILING((R7*R16),100)</f>
        <v>14290000</v>
      </c>
      <c r="S14" s="146"/>
      <c r="T14" s="146"/>
      <c r="U14" s="146">
        <f>CEILING((U7*U16),100)</f>
        <v>15215100</v>
      </c>
      <c r="V14" s="146">
        <f>CEILING((V7*V16),100)-55</f>
        <v>16107845</v>
      </c>
      <c r="W14" s="146">
        <f>CEILING((W7*W16),100)-85</f>
        <v>17074015</v>
      </c>
      <c r="X14" s="146">
        <f>CEILING((X7*X16),100)-85</f>
        <v>17927415</v>
      </c>
      <c r="Y14" s="146">
        <f>CEILING((Y7*Y16),100)-85</f>
        <v>18823515</v>
      </c>
      <c r="Z14" s="146">
        <f>CEILING((Z7*Z16),100)-85</f>
        <v>19764515</v>
      </c>
    </row>
    <row r="15" spans="1:38" ht="15.4" hidden="1" x14ac:dyDescent="0.45">
      <c r="A15" s="129" t="s">
        <v>66</v>
      </c>
      <c r="B15" s="134"/>
      <c r="C15" s="135">
        <f t="shared" ref="C15:V15" si="7">(C14-B14)/B14</f>
        <v>0.13284344105443069</v>
      </c>
      <c r="D15" s="135">
        <f t="shared" si="7"/>
        <v>9.630176098727028E-2</v>
      </c>
      <c r="E15" s="135">
        <f t="shared" si="7"/>
        <v>0.20982390159565895</v>
      </c>
      <c r="F15" s="135">
        <f t="shared" si="7"/>
        <v>0.22349513980162411</v>
      </c>
      <c r="G15" s="135">
        <f t="shared" si="7"/>
        <v>0.15161918931902824</v>
      </c>
      <c r="H15" s="135">
        <f t="shared" si="7"/>
        <v>-0.1554283282022064</v>
      </c>
      <c r="I15" s="135">
        <f t="shared" si="7"/>
        <v>-9.9712277274267486E-2</v>
      </c>
      <c r="J15" s="135">
        <f t="shared" si="7"/>
        <v>4.4645623011911953E-2</v>
      </c>
      <c r="K15" s="124">
        <f>(K14-J14)/J14</f>
        <v>6.1231120776854372E-2</v>
      </c>
      <c r="L15" s="124">
        <f>(L14-K14)/K14</f>
        <v>8.3144959344851943E-2</v>
      </c>
      <c r="M15" s="124">
        <f t="shared" si="7"/>
        <v>6.3623215663863988E-2</v>
      </c>
      <c r="N15" s="124">
        <f t="shared" si="7"/>
        <v>7.7256434735839402E-2</v>
      </c>
      <c r="O15" s="124">
        <f t="shared" si="7"/>
        <v>4.9770159021304342E-2</v>
      </c>
      <c r="P15" s="124">
        <f>(P14-O14)/O14</f>
        <v>7.0602582041314074E-2</v>
      </c>
      <c r="Q15" s="124">
        <v>0.11159059666064475</v>
      </c>
      <c r="R15" s="124">
        <f t="shared" si="7"/>
        <v>0.11370907284771825</v>
      </c>
      <c r="S15" s="124"/>
      <c r="T15" s="124"/>
      <c r="U15" s="124">
        <f>(U14-R14)/R14</f>
        <v>6.4737578726382083E-2</v>
      </c>
      <c r="V15" s="124">
        <f t="shared" si="7"/>
        <v>5.8674934768749465E-2</v>
      </c>
      <c r="W15" s="124">
        <f>(W14-V14)/V14</f>
        <v>5.9981332077630498E-2</v>
      </c>
      <c r="X15" s="124">
        <f>(X14-W14)/W14</f>
        <v>4.9982385513893481E-2</v>
      </c>
      <c r="Y15" s="124">
        <f>(Y14-X14)/X14</f>
        <v>4.9984897432228795E-2</v>
      </c>
      <c r="Z15" s="124">
        <f>(Z14-Y14)/Y14</f>
        <v>4.9990663274101572E-2</v>
      </c>
    </row>
    <row r="16" spans="1:38" ht="15.4" hidden="1" x14ac:dyDescent="0.45">
      <c r="A16" s="129" t="s">
        <v>67</v>
      </c>
      <c r="B16" s="134">
        <f t="shared" ref="B16:J16" si="8">B14/B7</f>
        <v>0.11492344134661686</v>
      </c>
      <c r="C16" s="135">
        <f t="shared" si="8"/>
        <v>0.11773768014017215</v>
      </c>
      <c r="D16" s="135">
        <f t="shared" si="8"/>
        <v>0.11556827013878172</v>
      </c>
      <c r="E16" s="135">
        <f t="shared" si="8"/>
        <v>0.11784251729079361</v>
      </c>
      <c r="F16" s="135">
        <f t="shared" si="8"/>
        <v>0.11845246805965556</v>
      </c>
      <c r="G16" s="135">
        <f>G14/G7</f>
        <v>0.1208226484442044</v>
      </c>
      <c r="H16" s="135">
        <f t="shared" si="8"/>
        <v>0.11798416589098459</v>
      </c>
      <c r="I16" s="135">
        <f t="shared" si="8"/>
        <v>0.11512957216868754</v>
      </c>
      <c r="J16" s="135">
        <f t="shared" si="8"/>
        <v>0.11554277172383214</v>
      </c>
      <c r="K16" s="124">
        <v>0.114</v>
      </c>
      <c r="L16" s="136">
        <v>0.1157</v>
      </c>
      <c r="M16" s="136">
        <v>0.11600000000000001</v>
      </c>
      <c r="N16" s="136">
        <v>0.11600000000000001</v>
      </c>
      <c r="O16" s="136">
        <v>0.11600000000000001</v>
      </c>
      <c r="P16" s="136">
        <v>0.11600000000000001</v>
      </c>
      <c r="Q16" s="136">
        <v>0.1186</v>
      </c>
      <c r="R16" s="136">
        <v>0.1193</v>
      </c>
      <c r="S16" s="136"/>
      <c r="T16" s="136"/>
      <c r="U16" s="136">
        <v>0.1196</v>
      </c>
      <c r="V16" s="136">
        <f>+U16</f>
        <v>0.1196</v>
      </c>
      <c r="W16" s="136">
        <f>+V16</f>
        <v>0.1196</v>
      </c>
      <c r="X16" s="136">
        <f>+W16</f>
        <v>0.1196</v>
      </c>
      <c r="Y16" s="136">
        <f>+X16</f>
        <v>0.1196</v>
      </c>
      <c r="Z16" s="136">
        <f>+Y16</f>
        <v>0.1196</v>
      </c>
      <c r="AA16" s="139"/>
    </row>
    <row r="17" spans="1:27" ht="20.65" hidden="1" x14ac:dyDescent="0.35">
      <c r="A17" s="147" t="s">
        <v>68</v>
      </c>
      <c r="B17" s="148"/>
      <c r="C17" s="148"/>
      <c r="D17" s="148"/>
      <c r="E17" s="270">
        <f>+I14/G14-100%</f>
        <v>-0.23964249291849959</v>
      </c>
      <c r="F17" s="150" t="s">
        <v>69</v>
      </c>
      <c r="H17" s="151"/>
      <c r="J17" s="152"/>
      <c r="K17" s="153" t="s">
        <v>70</v>
      </c>
      <c r="L17" s="154">
        <f>+L14-K14</f>
        <v>688074.61856669933</v>
      </c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39"/>
    </row>
    <row r="18" spans="1:27" ht="14.25" hidden="1" x14ac:dyDescent="0.35">
      <c r="B18" s="155"/>
      <c r="E18" s="270">
        <f>+L14/G14-100%</f>
        <v>-8.6973490613264315E-2</v>
      </c>
      <c r="F18" s="150" t="s">
        <v>71</v>
      </c>
      <c r="H18" s="156"/>
      <c r="K18" s="157" t="s">
        <v>72</v>
      </c>
      <c r="L18" s="158">
        <v>128779</v>
      </c>
    </row>
    <row r="19" spans="1:27" ht="14.25" hidden="1" x14ac:dyDescent="0.35">
      <c r="E19" s="270">
        <f>+L14/F14-100%</f>
        <v>5.1458848566734661E-2</v>
      </c>
      <c r="F19" s="150" t="s">
        <v>73</v>
      </c>
      <c r="H19" s="139"/>
      <c r="K19" s="157" t="s">
        <v>74</v>
      </c>
      <c r="L19" s="158">
        <f>+L17-L18</f>
        <v>559295.61856669933</v>
      </c>
    </row>
    <row r="20" spans="1:27" hidden="1" x14ac:dyDescent="0.35">
      <c r="A20" s="159" t="s">
        <v>75</v>
      </c>
      <c r="F20" s="159"/>
      <c r="L20" s="160"/>
      <c r="M20" s="160"/>
    </row>
    <row r="21" spans="1:27" hidden="1" x14ac:dyDescent="0.35"/>
    <row r="22" spans="1:27" ht="17.25" hidden="1" customHeight="1" x14ac:dyDescent="0.45">
      <c r="A22" s="133" t="s">
        <v>76</v>
      </c>
      <c r="J22" s="161">
        <v>7798115</v>
      </c>
      <c r="K22" s="161"/>
      <c r="L22" s="161"/>
      <c r="M22" s="162" t="s">
        <v>77</v>
      </c>
      <c r="N22" s="161">
        <v>10009420</v>
      </c>
      <c r="O22" s="161"/>
      <c r="P22" s="133">
        <f t="shared" ref="P22:Z22" si="9">+P14-O14</f>
        <v>761216</v>
      </c>
      <c r="Q22" s="133">
        <f>+Q14-P14</f>
        <v>1288081</v>
      </c>
      <c r="R22" s="133">
        <f>+R14-Q14</f>
        <v>1459001</v>
      </c>
      <c r="S22" s="133"/>
      <c r="T22" s="133"/>
      <c r="U22" s="133">
        <f>+U14-R14</f>
        <v>925100</v>
      </c>
      <c r="V22" s="133">
        <f t="shared" si="9"/>
        <v>892745</v>
      </c>
      <c r="W22" s="133">
        <f t="shared" si="9"/>
        <v>966170</v>
      </c>
      <c r="X22" s="133">
        <f t="shared" si="9"/>
        <v>853400</v>
      </c>
      <c r="Y22" s="133">
        <f t="shared" si="9"/>
        <v>896100</v>
      </c>
      <c r="Z22" s="133">
        <f t="shared" si="9"/>
        <v>941000</v>
      </c>
    </row>
    <row r="23" spans="1:27" hidden="1" x14ac:dyDescent="0.35"/>
    <row r="24" spans="1:27" ht="15.4" hidden="1" x14ac:dyDescent="0.45">
      <c r="A24" s="133" t="s">
        <v>78</v>
      </c>
      <c r="J24" s="161"/>
      <c r="K24" s="161"/>
      <c r="L24" s="161"/>
      <c r="M24" s="162"/>
      <c r="N24" s="161"/>
      <c r="O24" s="161"/>
      <c r="P24" s="133"/>
      <c r="Q24" s="133"/>
      <c r="R24" s="133">
        <v>13965000</v>
      </c>
      <c r="S24" s="133"/>
      <c r="T24" s="133"/>
      <c r="U24" s="133">
        <v>15120100</v>
      </c>
      <c r="V24" s="133">
        <v>16102845</v>
      </c>
      <c r="W24" s="133">
        <v>17069015</v>
      </c>
      <c r="X24" s="133">
        <v>17922415</v>
      </c>
      <c r="Y24" s="133">
        <v>18818515</v>
      </c>
      <c r="Z24" s="133">
        <v>19759515</v>
      </c>
    </row>
    <row r="25" spans="1:27" ht="15.4" hidden="1" x14ac:dyDescent="0.45">
      <c r="A25" s="133" t="s">
        <v>79</v>
      </c>
      <c r="J25" s="161"/>
      <c r="K25" s="161"/>
      <c r="L25" s="161"/>
      <c r="M25" s="162"/>
      <c r="N25" s="161"/>
      <c r="O25" s="161"/>
      <c r="P25" s="133"/>
      <c r="Q25" s="133"/>
      <c r="R25" s="133">
        <f t="shared" ref="R25:Z25" si="10">+R14-R24</f>
        <v>325000</v>
      </c>
      <c r="S25" s="133"/>
      <c r="T25" s="133"/>
      <c r="U25" s="133">
        <f t="shared" si="10"/>
        <v>95000</v>
      </c>
      <c r="V25" s="133">
        <f t="shared" si="10"/>
        <v>5000</v>
      </c>
      <c r="W25" s="133">
        <f t="shared" si="10"/>
        <v>5000</v>
      </c>
      <c r="X25" s="133">
        <f t="shared" si="10"/>
        <v>5000</v>
      </c>
      <c r="Y25" s="133">
        <f t="shared" si="10"/>
        <v>5000</v>
      </c>
      <c r="Z25" s="133">
        <f t="shared" si="10"/>
        <v>5000</v>
      </c>
    </row>
    <row r="26" spans="1:27" hidden="1" x14ac:dyDescent="0.35"/>
    <row r="27" spans="1:27" ht="15.4" hidden="1" x14ac:dyDescent="0.45">
      <c r="A27" s="163" t="s">
        <v>80</v>
      </c>
      <c r="R27" s="133">
        <v>13630000</v>
      </c>
      <c r="S27" s="164"/>
      <c r="T27" s="164"/>
    </row>
    <row r="28" spans="1:27" hidden="1" x14ac:dyDescent="0.35">
      <c r="P28" s="112">
        <v>11542918</v>
      </c>
      <c r="Q28" s="112">
        <v>12830999</v>
      </c>
    </row>
    <row r="29" spans="1:27" hidden="1" x14ac:dyDescent="0.35"/>
    <row r="30" spans="1:27" ht="15.4" hidden="1" x14ac:dyDescent="0.45">
      <c r="Q30" s="157" t="s">
        <v>81</v>
      </c>
      <c r="R30" s="133">
        <f>CEILING((R7*Q16),100)</f>
        <v>14206100</v>
      </c>
      <c r="S30" s="133"/>
      <c r="T30" s="133"/>
      <c r="U30" s="133">
        <f>CEILING((U7*R16),100)</f>
        <v>15176900</v>
      </c>
    </row>
    <row r="31" spans="1:27" ht="15.4" hidden="1" x14ac:dyDescent="0.45">
      <c r="Q31" s="163" t="s">
        <v>82</v>
      </c>
      <c r="R31" s="133">
        <f>+R14-R30</f>
        <v>83900</v>
      </c>
      <c r="S31" s="133"/>
      <c r="T31" s="133"/>
      <c r="U31" s="133">
        <f>+U14-U30</f>
        <v>38200</v>
      </c>
    </row>
    <row r="32" spans="1:27" hidden="1" x14ac:dyDescent="0.35"/>
    <row r="33" spans="1:54" hidden="1" x14ac:dyDescent="0.35"/>
    <row r="34" spans="1:54" ht="15" hidden="1" x14ac:dyDescent="0.4">
      <c r="U34" s="146">
        <f>CEILING((U7*U35),100)</f>
        <v>15176900</v>
      </c>
      <c r="V34" s="163" t="s">
        <v>83</v>
      </c>
    </row>
    <row r="35" spans="1:54" hidden="1" x14ac:dyDescent="0.35">
      <c r="R35" s="271">
        <f>+R14/Q14-1</f>
        <v>0.11370907284771814</v>
      </c>
      <c r="S35" s="271"/>
      <c r="T35" s="271"/>
      <c r="U35" s="166">
        <v>0.1193</v>
      </c>
      <c r="V35" s="163" t="s">
        <v>83</v>
      </c>
    </row>
    <row r="36" spans="1:54" ht="15" hidden="1" x14ac:dyDescent="0.4">
      <c r="P36" s="271">
        <f>+P37/P14</f>
        <v>0</v>
      </c>
      <c r="Q36" s="271">
        <f>+Q37/Q14</f>
        <v>0</v>
      </c>
      <c r="U36" s="146">
        <f>+U34-U14</f>
        <v>-38200</v>
      </c>
      <c r="V36" s="163" t="s">
        <v>83</v>
      </c>
    </row>
    <row r="37" spans="1:54" hidden="1" x14ac:dyDescent="0.35">
      <c r="P37" s="160">
        <f>+P14-P28</f>
        <v>0</v>
      </c>
      <c r="Q37" s="160">
        <f>+Q14-Q28</f>
        <v>0</v>
      </c>
    </row>
    <row r="38" spans="1:54" ht="15.4" hidden="1" x14ac:dyDescent="0.45">
      <c r="Q38" s="157" t="s">
        <v>84</v>
      </c>
      <c r="R38" s="133">
        <v>13955000</v>
      </c>
      <c r="S38" s="164"/>
      <c r="T38" s="164"/>
    </row>
    <row r="39" spans="1:54" hidden="1" x14ac:dyDescent="0.35"/>
    <row r="40" spans="1:54" hidden="1" x14ac:dyDescent="0.35">
      <c r="R40" s="160">
        <f>+R38-R14</f>
        <v>-335000</v>
      </c>
      <c r="S40" s="160"/>
      <c r="T40" s="160"/>
    </row>
    <row r="41" spans="1:54" ht="13.15" thickBot="1" x14ac:dyDescent="0.4"/>
    <row r="42" spans="1:54" ht="15" x14ac:dyDescent="0.4">
      <c r="A42" s="167" t="s">
        <v>43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8"/>
      <c r="W42" s="168"/>
      <c r="X42" s="169" t="s">
        <v>85</v>
      </c>
      <c r="Y42" s="169"/>
      <c r="Z42" s="169"/>
      <c r="AA42" s="169"/>
      <c r="AB42" s="169"/>
      <c r="AC42" s="170" t="s">
        <v>86</v>
      </c>
      <c r="AD42" s="171"/>
      <c r="AE42" s="171"/>
      <c r="AF42" s="171"/>
      <c r="AG42" s="171"/>
      <c r="AH42" s="171"/>
      <c r="AL42" s="272"/>
      <c r="AM42" s="326" t="s">
        <v>142</v>
      </c>
      <c r="AN42" s="327"/>
      <c r="AO42" s="326" t="s">
        <v>143</v>
      </c>
      <c r="AP42" s="327"/>
      <c r="AQ42" s="326" t="s">
        <v>144</v>
      </c>
      <c r="AR42" s="327"/>
      <c r="AW42" s="160">
        <v>16811000</v>
      </c>
      <c r="AX42" s="160">
        <v>17988000</v>
      </c>
      <c r="AY42" s="160">
        <v>19248000</v>
      </c>
      <c r="AZ42" s="160">
        <v>20596000</v>
      </c>
      <c r="BA42" s="160">
        <v>22038000</v>
      </c>
      <c r="BB42" s="160">
        <v>23581000</v>
      </c>
    </row>
    <row r="43" spans="1:54" ht="13.15" thickBot="1" x14ac:dyDescent="0.4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3" t="s">
        <v>46</v>
      </c>
      <c r="W43" s="173" t="s">
        <v>46</v>
      </c>
      <c r="X43" s="174" t="s">
        <v>87</v>
      </c>
      <c r="Y43" s="174" t="s">
        <v>87</v>
      </c>
      <c r="Z43" s="174" t="s">
        <v>87</v>
      </c>
      <c r="AA43" s="174" t="s">
        <v>87</v>
      </c>
      <c r="AB43" s="174" t="s">
        <v>87</v>
      </c>
      <c r="AC43" s="175" t="s">
        <v>87</v>
      </c>
      <c r="AD43" s="175" t="s">
        <v>87</v>
      </c>
      <c r="AE43" s="175" t="s">
        <v>87</v>
      </c>
      <c r="AF43" s="175" t="s">
        <v>87</v>
      </c>
      <c r="AG43" s="175" t="s">
        <v>87</v>
      </c>
      <c r="AH43" s="175" t="s">
        <v>87</v>
      </c>
      <c r="AL43" s="273"/>
      <c r="AM43" s="328"/>
      <c r="AN43" s="329"/>
      <c r="AO43" s="328"/>
      <c r="AP43" s="329"/>
      <c r="AQ43" s="328"/>
      <c r="AR43" s="329"/>
    </row>
    <row r="44" spans="1:54" ht="45.4" thickBot="1" x14ac:dyDescent="0.4">
      <c r="A44" s="176" t="s">
        <v>44</v>
      </c>
      <c r="B44" s="177">
        <f t="shared" ref="B44:H44" si="11">C44-1</f>
        <v>2003</v>
      </c>
      <c r="C44" s="177">
        <f t="shared" si="11"/>
        <v>2004</v>
      </c>
      <c r="D44" s="177">
        <f t="shared" si="11"/>
        <v>2005</v>
      </c>
      <c r="E44" s="177">
        <f t="shared" si="11"/>
        <v>2006</v>
      </c>
      <c r="F44" s="177">
        <f t="shared" si="11"/>
        <v>2007</v>
      </c>
      <c r="G44" s="177">
        <f t="shared" si="11"/>
        <v>2008</v>
      </c>
      <c r="H44" s="177">
        <f t="shared" si="11"/>
        <v>2009</v>
      </c>
      <c r="I44" s="177">
        <v>2010</v>
      </c>
      <c r="J44" s="177">
        <v>2011</v>
      </c>
      <c r="K44" s="177">
        <v>2012</v>
      </c>
      <c r="L44" s="177">
        <v>2013</v>
      </c>
      <c r="M44" s="177">
        <v>2014</v>
      </c>
      <c r="N44" s="177">
        <v>2015</v>
      </c>
      <c r="O44" s="177">
        <v>2016</v>
      </c>
      <c r="P44" s="178" t="s">
        <v>88</v>
      </c>
      <c r="Q44" s="178" t="s">
        <v>89</v>
      </c>
      <c r="R44" s="178" t="s">
        <v>90</v>
      </c>
      <c r="S44" s="178" t="s">
        <v>91</v>
      </c>
      <c r="T44" s="178" t="s">
        <v>145</v>
      </c>
      <c r="U44" s="178" t="s">
        <v>92</v>
      </c>
      <c r="V44" s="178" t="s">
        <v>93</v>
      </c>
      <c r="W44" s="178" t="s">
        <v>94</v>
      </c>
      <c r="X44" s="178">
        <v>2021</v>
      </c>
      <c r="Y44" s="178">
        <v>2022</v>
      </c>
      <c r="Z44" s="178">
        <v>2023</v>
      </c>
      <c r="AA44" s="178">
        <v>2024</v>
      </c>
      <c r="AB44" s="178">
        <v>2025</v>
      </c>
      <c r="AC44" s="178">
        <v>2020</v>
      </c>
      <c r="AD44" s="178">
        <v>2021</v>
      </c>
      <c r="AE44" s="178">
        <v>2022</v>
      </c>
      <c r="AF44" s="178">
        <v>2023</v>
      </c>
      <c r="AG44" s="178">
        <v>2024</v>
      </c>
      <c r="AH44" s="178">
        <v>2025</v>
      </c>
      <c r="AI44" s="178"/>
      <c r="AJ44" s="179"/>
      <c r="AK44" s="274" t="s">
        <v>146</v>
      </c>
      <c r="AL44" s="275" t="s">
        <v>147</v>
      </c>
      <c r="AM44" s="276" t="s">
        <v>148</v>
      </c>
      <c r="AN44" s="277" t="s">
        <v>149</v>
      </c>
      <c r="AO44" s="276" t="s">
        <v>148</v>
      </c>
      <c r="AP44" s="277" t="s">
        <v>149</v>
      </c>
      <c r="AQ44" s="276" t="s">
        <v>148</v>
      </c>
      <c r="AR44" s="277" t="s">
        <v>149</v>
      </c>
      <c r="AT44" s="176" t="s">
        <v>44</v>
      </c>
      <c r="AU44" s="178" t="s">
        <v>146</v>
      </c>
      <c r="AV44" s="178" t="s">
        <v>148</v>
      </c>
      <c r="AW44" s="178" t="s">
        <v>150</v>
      </c>
      <c r="AX44" s="178" t="s">
        <v>151</v>
      </c>
      <c r="AY44" s="178" t="s">
        <v>152</v>
      </c>
      <c r="AZ44" s="178" t="s">
        <v>153</v>
      </c>
      <c r="BA44" s="178" t="s">
        <v>154</v>
      </c>
      <c r="BB44" s="178" t="s">
        <v>155</v>
      </c>
    </row>
    <row r="45" spans="1:54" ht="15.4" x14ac:dyDescent="0.35">
      <c r="A45" s="187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278"/>
      <c r="AK45" s="279"/>
      <c r="AL45" s="280"/>
      <c r="AM45" s="281"/>
      <c r="AN45" s="282"/>
      <c r="AO45" s="279"/>
      <c r="AP45" s="282"/>
      <c r="AQ45" s="279"/>
      <c r="AR45" s="282"/>
      <c r="AT45" s="187"/>
      <c r="AU45" s="279"/>
      <c r="AV45" s="279"/>
      <c r="AW45" s="188"/>
      <c r="AX45" s="188"/>
      <c r="AY45" s="188"/>
      <c r="AZ45" s="188"/>
      <c r="BA45" s="188"/>
      <c r="BB45" s="188"/>
    </row>
    <row r="46" spans="1:54" ht="15.4" x14ac:dyDescent="0.45">
      <c r="A46" s="189" t="s">
        <v>47</v>
      </c>
      <c r="B46" s="190">
        <v>8675</v>
      </c>
      <c r="C46" s="190">
        <v>8740</v>
      </c>
      <c r="D46" s="190">
        <v>8744</v>
      </c>
      <c r="E46" s="190">
        <v>8897</v>
      </c>
      <c r="F46" s="190">
        <v>8980</v>
      </c>
      <c r="G46" s="190">
        <v>8826</v>
      </c>
      <c r="H46" s="190">
        <v>8170</v>
      </c>
      <c r="I46" s="190">
        <v>7728</v>
      </c>
      <c r="J46" s="190">
        <v>7669</v>
      </c>
      <c r="K46" s="190">
        <v>7746</v>
      </c>
      <c r="L46" s="190">
        <v>7797</v>
      </c>
      <c r="M46" s="190">
        <v>7700</v>
      </c>
      <c r="N46" s="190">
        <v>7890</v>
      </c>
      <c r="O46" s="190">
        <v>7836</v>
      </c>
      <c r="P46" s="191">
        <v>7835</v>
      </c>
      <c r="Q46" s="190">
        <v>7825</v>
      </c>
      <c r="R46" s="190">
        <v>7886</v>
      </c>
      <c r="S46" s="190">
        <v>7672</v>
      </c>
      <c r="T46" s="190">
        <v>7672</v>
      </c>
      <c r="U46" s="190">
        <v>7700</v>
      </c>
      <c r="V46" s="190">
        <v>7400</v>
      </c>
      <c r="W46" s="190">
        <v>7670</v>
      </c>
      <c r="X46" s="190">
        <f>ROUND((W46*1.011),-1)</f>
        <v>7750</v>
      </c>
      <c r="Y46" s="190">
        <f>ROUND((X46*1.005),-1)</f>
        <v>7790</v>
      </c>
      <c r="Z46" s="190">
        <f>ROUND((Y46*1.003),-1)</f>
        <v>7810</v>
      </c>
      <c r="AA46" s="190">
        <f>ROUND((Z46*1.003),-1)</f>
        <v>7830</v>
      </c>
      <c r="AB46" s="190">
        <f>ROUND((AA46*1.003),-1)</f>
        <v>7850</v>
      </c>
      <c r="AC46" s="190">
        <v>7890</v>
      </c>
      <c r="AD46" s="190">
        <v>7890</v>
      </c>
      <c r="AE46" s="190">
        <v>7890</v>
      </c>
      <c r="AF46" s="190">
        <v>7890</v>
      </c>
      <c r="AG46" s="190">
        <v>7890</v>
      </c>
      <c r="AH46" s="190">
        <v>7890</v>
      </c>
      <c r="AI46" s="192"/>
      <c r="AJ46" s="283"/>
      <c r="AK46" s="284">
        <v>7649</v>
      </c>
      <c r="AL46" s="285">
        <v>7740</v>
      </c>
      <c r="AM46" s="286">
        <f>7740-220</f>
        <v>7520</v>
      </c>
      <c r="AN46" s="287">
        <f>+AM46-$AL$46</f>
        <v>-220</v>
      </c>
      <c r="AO46" s="286">
        <v>7600</v>
      </c>
      <c r="AP46" s="287">
        <f>+AO46-$AL$46</f>
        <v>-140</v>
      </c>
      <c r="AQ46" s="286">
        <v>7625</v>
      </c>
      <c r="AR46" s="287">
        <f>+AQ46-$AL$46</f>
        <v>-115</v>
      </c>
      <c r="AT46" s="189" t="s">
        <v>47</v>
      </c>
      <c r="AU46" s="190">
        <v>7649</v>
      </c>
      <c r="AV46" s="190">
        <v>7625</v>
      </c>
      <c r="AW46" s="190">
        <v>7700</v>
      </c>
      <c r="AX46" s="190">
        <v>7760</v>
      </c>
      <c r="AY46" s="190">
        <v>7830</v>
      </c>
      <c r="AZ46" s="190">
        <v>7870</v>
      </c>
      <c r="BA46" s="190">
        <v>7890</v>
      </c>
      <c r="BB46" s="190">
        <v>7890</v>
      </c>
    </row>
    <row r="47" spans="1:54" ht="15.4" x14ac:dyDescent="0.45">
      <c r="A47" s="193" t="s">
        <v>50</v>
      </c>
      <c r="B47" s="194"/>
      <c r="C47" s="195">
        <f t="shared" ref="C47:I47" si="12">(C46-B46)/B46</f>
        <v>7.492795389048991E-3</v>
      </c>
      <c r="D47" s="195">
        <f t="shared" si="12"/>
        <v>4.5766590389016021E-4</v>
      </c>
      <c r="E47" s="195">
        <f t="shared" si="12"/>
        <v>1.7497712717291856E-2</v>
      </c>
      <c r="F47" s="195">
        <f t="shared" si="12"/>
        <v>9.3289872990895816E-3</v>
      </c>
      <c r="G47" s="195">
        <f t="shared" si="12"/>
        <v>-1.7149220489977728E-2</v>
      </c>
      <c r="H47" s="195">
        <f t="shared" si="12"/>
        <v>-7.4325855427147064E-2</v>
      </c>
      <c r="I47" s="195">
        <f t="shared" si="12"/>
        <v>-5.4100367197062425E-2</v>
      </c>
      <c r="J47" s="195">
        <f>(J46-I46)/I46</f>
        <v>-7.634575569358178E-3</v>
      </c>
      <c r="K47" s="195">
        <f>(K46-J46)/J46</f>
        <v>1.0040422480114749E-2</v>
      </c>
      <c r="L47" s="195">
        <f t="shared" ref="L47:AJ47" si="13">(L46-K46)/K46</f>
        <v>6.5840433772269558E-3</v>
      </c>
      <c r="M47" s="195">
        <f t="shared" si="13"/>
        <v>-1.2440682313710401E-2</v>
      </c>
      <c r="N47" s="195">
        <f>(N46-M46)/M46</f>
        <v>2.4675324675324677E-2</v>
      </c>
      <c r="O47" s="196">
        <f>(O46-N46)/N46</f>
        <v>-6.8441064638783272E-3</v>
      </c>
      <c r="P47" s="197">
        <f t="shared" si="13"/>
        <v>-1.2761613067891782E-4</v>
      </c>
      <c r="Q47" s="196">
        <f t="shared" si="13"/>
        <v>-1.2763241863433313E-3</v>
      </c>
      <c r="R47" s="195">
        <f t="shared" si="13"/>
        <v>7.7955271565495208E-3</v>
      </c>
      <c r="S47" s="195">
        <f t="shared" si="13"/>
        <v>-2.7136697945726602E-2</v>
      </c>
      <c r="T47" s="195">
        <f t="shared" si="13"/>
        <v>0</v>
      </c>
      <c r="U47" s="195">
        <f t="shared" si="13"/>
        <v>3.6496350364963502E-3</v>
      </c>
      <c r="V47" s="195">
        <f t="shared" si="13"/>
        <v>-3.896103896103896E-2</v>
      </c>
      <c r="W47" s="195">
        <f t="shared" si="13"/>
        <v>3.6486486486486489E-2</v>
      </c>
      <c r="X47" s="195">
        <f t="shared" si="13"/>
        <v>1.0430247718383311E-2</v>
      </c>
      <c r="Y47" s="195">
        <f t="shared" si="13"/>
        <v>5.1612903225806452E-3</v>
      </c>
      <c r="Z47" s="195">
        <f t="shared" si="13"/>
        <v>2.5673940949935813E-3</v>
      </c>
      <c r="AA47" s="195">
        <f t="shared" si="13"/>
        <v>2.5608194622279128E-3</v>
      </c>
      <c r="AB47" s="195">
        <f t="shared" si="13"/>
        <v>2.554278416347382E-3</v>
      </c>
      <c r="AC47" s="195">
        <f t="shared" si="13"/>
        <v>5.0955414012738851E-3</v>
      </c>
      <c r="AD47" s="195">
        <f t="shared" si="13"/>
        <v>0</v>
      </c>
      <c r="AE47" s="195">
        <f t="shared" si="13"/>
        <v>0</v>
      </c>
      <c r="AF47" s="195">
        <f t="shared" si="13"/>
        <v>0</v>
      </c>
      <c r="AG47" s="195">
        <f t="shared" si="13"/>
        <v>0</v>
      </c>
      <c r="AH47" s="195">
        <f t="shared" si="13"/>
        <v>0</v>
      </c>
      <c r="AI47" s="195">
        <f t="shared" si="13"/>
        <v>-1</v>
      </c>
      <c r="AJ47" s="210" t="e">
        <f t="shared" si="13"/>
        <v>#DIV/0!</v>
      </c>
      <c r="AK47" s="288">
        <f>(AK46-S46)/S46</f>
        <v>-2.997914494264859E-3</v>
      </c>
      <c r="AL47" s="289">
        <f>(AL46-T46)/T46</f>
        <v>8.863399374348279E-3</v>
      </c>
      <c r="AM47" s="290">
        <f>(AM46-$AK$46)/$AK$46</f>
        <v>-1.6864949666623087E-2</v>
      </c>
      <c r="AN47" s="282" t="s">
        <v>156</v>
      </c>
      <c r="AO47" s="290">
        <f>(AO46-$AK$46)/$AK$46</f>
        <v>-6.4060661524382272E-3</v>
      </c>
      <c r="AP47" s="282" t="s">
        <v>156</v>
      </c>
      <c r="AQ47" s="290">
        <f>(AQ46-$AK$46)/$AK$46</f>
        <v>-3.1376650542554582E-3</v>
      </c>
      <c r="AR47" s="282" t="s">
        <v>156</v>
      </c>
      <c r="AT47" s="193" t="s">
        <v>50</v>
      </c>
      <c r="AU47" s="195">
        <v>-2.997914494264859E-3</v>
      </c>
      <c r="AV47" s="195">
        <v>-3.1376650542554582E-3</v>
      </c>
      <c r="AW47" s="195">
        <f>(AW46-AQ46)/AQ46</f>
        <v>9.8360655737704927E-3</v>
      </c>
      <c r="AX47" s="195">
        <f>(AX46-AW46)/AW46</f>
        <v>7.7922077922077922E-3</v>
      </c>
      <c r="AY47" s="195">
        <f>(AY46-AX46)/AX46</f>
        <v>9.0206185567010301E-3</v>
      </c>
      <c r="AZ47" s="195">
        <f>(AZ46-AY46)/AY46</f>
        <v>5.108556832694764E-3</v>
      </c>
      <c r="BA47" s="195">
        <f t="shared" ref="BA47:BB47" si="14">(BA46-AZ46)/AZ46</f>
        <v>2.5412960609911056E-3</v>
      </c>
      <c r="BB47" s="195">
        <f t="shared" si="14"/>
        <v>0</v>
      </c>
    </row>
    <row r="48" spans="1:54" ht="15.4" x14ac:dyDescent="0.45">
      <c r="A48" s="193" t="s">
        <v>57</v>
      </c>
      <c r="B48" s="194">
        <v>40351611</v>
      </c>
      <c r="C48" s="194">
        <v>44619420</v>
      </c>
      <c r="D48" s="194">
        <v>49834590.518067829</v>
      </c>
      <c r="E48" s="194">
        <v>59127518.949803799</v>
      </c>
      <c r="F48" s="194">
        <v>71969718.085718304</v>
      </c>
      <c r="G48" s="194">
        <v>81255816.215663463</v>
      </c>
      <c r="H48" s="194">
        <v>70277384.86316517</v>
      </c>
      <c r="I48" s="194">
        <v>64838618.933186769</v>
      </c>
      <c r="J48" s="194">
        <v>67491154</v>
      </c>
      <c r="K48" s="194">
        <f t="shared" ref="K48:AK48" si="15">K50*K46*12</f>
        <v>72593011.591199994</v>
      </c>
      <c r="L48" s="194">
        <f t="shared" si="15"/>
        <v>77473448.054999992</v>
      </c>
      <c r="M48" s="194">
        <f t="shared" si="15"/>
        <v>82189438.716000006</v>
      </c>
      <c r="N48" s="194">
        <f t="shared" si="15"/>
        <v>88525800</v>
      </c>
      <c r="O48" s="194">
        <f t="shared" si="15"/>
        <v>92941228.799999997</v>
      </c>
      <c r="P48" s="198">
        <f t="shared" si="15"/>
        <v>98062860</v>
      </c>
      <c r="Q48" s="194">
        <f t="shared" si="15"/>
        <v>107295647.23500001</v>
      </c>
      <c r="R48" s="194">
        <f t="shared" si="15"/>
        <v>114220824</v>
      </c>
      <c r="S48" s="194">
        <f t="shared" si="15"/>
        <v>114067296</v>
      </c>
      <c r="T48" s="194">
        <f t="shared" si="15"/>
        <v>119828661.12</v>
      </c>
      <c r="U48" s="194">
        <f t="shared" si="15"/>
        <v>127050000</v>
      </c>
      <c r="V48" s="194">
        <f t="shared" si="15"/>
        <v>111621600</v>
      </c>
      <c r="W48" s="194">
        <f t="shared" si="15"/>
        <v>115970400</v>
      </c>
      <c r="X48" s="194">
        <f t="shared" si="15"/>
        <v>121046940</v>
      </c>
      <c r="Y48" s="194">
        <f t="shared" si="15"/>
        <v>127146924.82799998</v>
      </c>
      <c r="Z48" s="194">
        <f t="shared" si="15"/>
        <v>133847029.14659998</v>
      </c>
      <c r="AA48" s="194">
        <f t="shared" si="15"/>
        <v>139557378.71275198</v>
      </c>
      <c r="AB48" s="194">
        <f t="shared" si="15"/>
        <v>145510400.9975616</v>
      </c>
      <c r="AC48" s="194">
        <f t="shared" si="15"/>
        <v>127216139.42039794</v>
      </c>
      <c r="AD48" s="194">
        <f t="shared" si="15"/>
        <v>134681182.4815869</v>
      </c>
      <c r="AE48" s="194">
        <f t="shared" si="15"/>
        <v>142759359.80683246</v>
      </c>
      <c r="AF48" s="194">
        <f t="shared" si="15"/>
        <v>149895329.16613677</v>
      </c>
      <c r="AG48" s="194">
        <f t="shared" si="15"/>
        <v>157387697.29917699</v>
      </c>
      <c r="AH48" s="194">
        <f t="shared" si="15"/>
        <v>165255036.12407094</v>
      </c>
      <c r="AI48" s="194">
        <f t="shared" si="15"/>
        <v>0</v>
      </c>
      <c r="AJ48" s="198">
        <f t="shared" si="15"/>
        <v>0</v>
      </c>
      <c r="AK48" s="291">
        <f t="shared" si="15"/>
        <v>121343736</v>
      </c>
      <c r="AL48" s="292">
        <f>AL50*AL46*12</f>
        <v>130032000</v>
      </c>
      <c r="AM48" s="193">
        <f>AM50*AM46*12</f>
        <v>126336000</v>
      </c>
      <c r="AN48" s="282"/>
      <c r="AO48" s="193">
        <f>AO50*AO46*12</f>
        <v>127680000</v>
      </c>
      <c r="AP48" s="282"/>
      <c r="AQ48" s="193">
        <f>AQ50*AQ46*12</f>
        <v>128100000</v>
      </c>
      <c r="AR48" s="282"/>
      <c r="AT48" s="193" t="s">
        <v>57</v>
      </c>
      <c r="AU48" s="194">
        <v>121343736</v>
      </c>
      <c r="AV48" s="194">
        <v>128100000</v>
      </c>
      <c r="AW48" s="194">
        <f>AW50*AW46*12</f>
        <v>135828000</v>
      </c>
      <c r="AX48" s="194">
        <f>AX50*AX46*12</f>
        <v>145099584</v>
      </c>
      <c r="AY48" s="194">
        <f t="shared" ref="AY48:BB48" si="16">AY50*AY46*12</f>
        <v>155192980.32000002</v>
      </c>
      <c r="AZ48" s="194">
        <f t="shared" si="16"/>
        <v>166124868.99120003</v>
      </c>
      <c r="BA48" s="194">
        <f t="shared" si="16"/>
        <v>177372599.16171604</v>
      </c>
      <c r="BB48" s="194">
        <f t="shared" si="16"/>
        <v>189788681.10303617</v>
      </c>
    </row>
    <row r="49" spans="1:54" ht="15.4" x14ac:dyDescent="0.45">
      <c r="A49" s="199"/>
      <c r="B49" s="200"/>
      <c r="C49" s="200"/>
      <c r="D49" s="200"/>
      <c r="E49" s="200"/>
      <c r="F49" s="200"/>
      <c r="G49" s="201"/>
      <c r="H49" s="201"/>
      <c r="I49" s="201"/>
      <c r="J49" s="201"/>
      <c r="K49" s="201"/>
      <c r="L49" s="202"/>
      <c r="M49" s="203"/>
      <c r="N49" s="203"/>
      <c r="O49" s="203"/>
      <c r="P49" s="204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4"/>
      <c r="AK49" s="293"/>
      <c r="AL49" s="294"/>
      <c r="AM49" s="295"/>
      <c r="AN49" s="282"/>
      <c r="AO49" s="296"/>
      <c r="AP49" s="282"/>
      <c r="AQ49" s="296"/>
      <c r="AR49" s="282"/>
      <c r="AT49" s="199"/>
      <c r="AU49" s="203"/>
      <c r="AV49" s="203"/>
      <c r="AW49" s="203"/>
      <c r="AX49" s="203"/>
      <c r="AY49" s="203"/>
      <c r="AZ49" s="203"/>
      <c r="BA49" s="203"/>
      <c r="BB49" s="203"/>
    </row>
    <row r="50" spans="1:54" ht="15.4" x14ac:dyDescent="0.45">
      <c r="A50" s="189" t="s">
        <v>58</v>
      </c>
      <c r="B50" s="190">
        <f>B48/B46/12</f>
        <v>387.62354466858784</v>
      </c>
      <c r="C50" s="190">
        <f t="shared" ref="C50:J50" si="17">C48/C46/12</f>
        <v>425.43306636155603</v>
      </c>
      <c r="D50" s="190">
        <f t="shared" si="17"/>
        <v>474.94082149729178</v>
      </c>
      <c r="E50" s="190">
        <f t="shared" si="17"/>
        <v>553.81513384477728</v>
      </c>
      <c r="F50" s="190">
        <f t="shared" si="17"/>
        <v>667.87043509389662</v>
      </c>
      <c r="G50" s="190">
        <f t="shared" si="17"/>
        <v>767.20122569362741</v>
      </c>
      <c r="H50" s="190">
        <f t="shared" si="17"/>
        <v>716.82359101555664</v>
      </c>
      <c r="I50" s="190">
        <f>I48/I46/12</f>
        <v>699.17420347207963</v>
      </c>
      <c r="J50" s="190">
        <f t="shared" si="17"/>
        <v>733.37629851784243</v>
      </c>
      <c r="K50" s="190">
        <v>780.97310000000004</v>
      </c>
      <c r="L50" s="190">
        <v>828.02625</v>
      </c>
      <c r="M50" s="190">
        <v>889.49608999999998</v>
      </c>
      <c r="N50" s="190">
        <v>935</v>
      </c>
      <c r="O50" s="190">
        <v>988.4</v>
      </c>
      <c r="P50" s="191">
        <v>1043</v>
      </c>
      <c r="Q50" s="190">
        <f>+P50*1.09555</f>
        <v>1142.6586500000001</v>
      </c>
      <c r="R50" s="190">
        <v>1207</v>
      </c>
      <c r="S50" s="190">
        <v>1239</v>
      </c>
      <c r="T50" s="190">
        <f>1260*1.033</f>
        <v>1301.58</v>
      </c>
      <c r="U50" s="190">
        <v>1375</v>
      </c>
      <c r="V50" s="190">
        <v>1257</v>
      </c>
      <c r="W50" s="190">
        <v>1260</v>
      </c>
      <c r="X50" s="190">
        <f>1260*1.033</f>
        <v>1301.58</v>
      </c>
      <c r="Y50" s="190">
        <f>+X50*1.045</f>
        <v>1360.1510999999998</v>
      </c>
      <c r="Z50" s="190">
        <f>+Y50*1.05</f>
        <v>1428.158655</v>
      </c>
      <c r="AA50" s="190">
        <f>+Z50*1.04</f>
        <v>1485.2850011999999</v>
      </c>
      <c r="AB50" s="190">
        <f>+AA50*1.04</f>
        <v>1544.696401248</v>
      </c>
      <c r="AC50" s="190">
        <v>1343.6432131431975</v>
      </c>
      <c r="AD50" s="190">
        <f>+AC50*1.05868</f>
        <v>1422.4881968904403</v>
      </c>
      <c r="AE50" s="190">
        <f>+AD50*1.05998</f>
        <v>1507.8090389399288</v>
      </c>
      <c r="AF50" s="190">
        <f>+AE50*1.049986</f>
        <v>1583.1783815603801</v>
      </c>
      <c r="AG50" s="190">
        <f>+AF50*1.049984</f>
        <v>1662.3119697842942</v>
      </c>
      <c r="AH50" s="190">
        <f>+AG50*1.049987</f>
        <v>1745.4059582179018</v>
      </c>
      <c r="AI50" s="192"/>
      <c r="AJ50" s="283"/>
      <c r="AK50" s="284">
        <v>1322</v>
      </c>
      <c r="AL50" s="285">
        <f>25+1375</f>
        <v>1400</v>
      </c>
      <c r="AM50" s="286">
        <v>1400</v>
      </c>
      <c r="AN50" s="287">
        <f>+AM50-$AL$50</f>
        <v>0</v>
      </c>
      <c r="AO50" s="286">
        <v>1400</v>
      </c>
      <c r="AP50" s="287">
        <f>+AO50-$AL$50</f>
        <v>0</v>
      </c>
      <c r="AQ50" s="286">
        <f>+AL50</f>
        <v>1400</v>
      </c>
      <c r="AR50" s="287">
        <f>+AQ50-$AL$50</f>
        <v>0</v>
      </c>
      <c r="AT50" s="189" t="s">
        <v>58</v>
      </c>
      <c r="AU50" s="190">
        <v>1322</v>
      </c>
      <c r="AV50" s="190">
        <v>1400</v>
      </c>
      <c r="AW50" s="190">
        <v>1470</v>
      </c>
      <c r="AX50" s="190">
        <f>+AW50*1.06</f>
        <v>1558.2</v>
      </c>
      <c r="AY50" s="190">
        <f>+AX50*1.06</f>
        <v>1651.6920000000002</v>
      </c>
      <c r="AZ50" s="190">
        <f>+AY50*1.065</f>
        <v>1759.0519800000002</v>
      </c>
      <c r="BA50" s="190">
        <f>+AZ50*1.065</f>
        <v>1873.3903587000002</v>
      </c>
      <c r="BB50" s="190">
        <f>+BA50*1.07</f>
        <v>2004.5276838090003</v>
      </c>
    </row>
    <row r="51" spans="1:54" ht="15.4" x14ac:dyDescent="0.45">
      <c r="A51" s="199" t="s">
        <v>60</v>
      </c>
      <c r="B51" s="205"/>
      <c r="C51" s="206">
        <f t="shared" ref="C51:AJ51" si="18">(C50-B50)/B50</f>
        <v>9.7541860428769223E-2</v>
      </c>
      <c r="D51" s="206">
        <f t="shared" si="18"/>
        <v>0.11637025668724438</v>
      </c>
      <c r="E51" s="206">
        <f t="shared" si="18"/>
        <v>0.16607187417334954</v>
      </c>
      <c r="F51" s="206">
        <f t="shared" si="18"/>
        <v>0.20594471743180395</v>
      </c>
      <c r="G51" s="206">
        <f t="shared" si="18"/>
        <v>0.14872763545187589</v>
      </c>
      <c r="H51" s="206">
        <f t="shared" si="18"/>
        <v>-6.5664173871104403E-2</v>
      </c>
      <c r="I51" s="206">
        <f t="shared" si="18"/>
        <v>-2.4621661123725474E-2</v>
      </c>
      <c r="J51" s="206">
        <f t="shared" si="18"/>
        <v>4.8917844617144268E-2</v>
      </c>
      <c r="K51" s="195">
        <f t="shared" si="18"/>
        <v>6.490092682072085E-2</v>
      </c>
      <c r="L51" s="195">
        <f t="shared" si="18"/>
        <v>6.0249386310488741E-2</v>
      </c>
      <c r="M51" s="195">
        <f t="shared" si="18"/>
        <v>7.423658368318635E-2</v>
      </c>
      <c r="N51" s="195">
        <f>(N50-M50)/M50</f>
        <v>5.115695337120596E-2</v>
      </c>
      <c r="O51" s="195">
        <f>(O50-N50)/N50</f>
        <v>5.7112299465240615E-2</v>
      </c>
      <c r="P51" s="207">
        <f t="shared" si="18"/>
        <v>5.5240793201133169E-2</v>
      </c>
      <c r="Q51" s="208">
        <f t="shared" si="18"/>
        <v>9.5550000000000079E-2</v>
      </c>
      <c r="R51" s="208">
        <f t="shared" si="18"/>
        <v>5.6308460973887448E-2</v>
      </c>
      <c r="S51" s="208">
        <f t="shared" si="18"/>
        <v>2.6512013256006627E-2</v>
      </c>
      <c r="T51" s="208">
        <f t="shared" si="18"/>
        <v>5.0508474576271126E-2</v>
      </c>
      <c r="U51" s="208">
        <f t="shared" si="18"/>
        <v>5.6408365217658595E-2</v>
      </c>
      <c r="V51" s="208">
        <f t="shared" si="18"/>
        <v>-8.5818181818181821E-2</v>
      </c>
      <c r="W51" s="208">
        <f t="shared" si="18"/>
        <v>2.3866348448687352E-3</v>
      </c>
      <c r="X51" s="208">
        <f t="shared" si="18"/>
        <v>3.2999999999999939E-2</v>
      </c>
      <c r="Y51" s="208">
        <f t="shared" si="18"/>
        <v>4.4999999999999915E-2</v>
      </c>
      <c r="Z51" s="208">
        <f t="shared" si="18"/>
        <v>5.0000000000000107E-2</v>
      </c>
      <c r="AA51" s="208">
        <f t="shared" si="18"/>
        <v>3.9999999999999959E-2</v>
      </c>
      <c r="AB51" s="208">
        <f t="shared" si="18"/>
        <v>4.0000000000000091E-2</v>
      </c>
      <c r="AC51" s="208">
        <f t="shared" si="18"/>
        <v>-0.13015708973126788</v>
      </c>
      <c r="AD51" s="208">
        <f t="shared" si="18"/>
        <v>5.8680000000000017E-2</v>
      </c>
      <c r="AE51" s="208">
        <f t="shared" si="18"/>
        <v>5.9979999999999867E-2</v>
      </c>
      <c r="AF51" s="208">
        <f t="shared" si="18"/>
        <v>4.9986000000000037E-2</v>
      </c>
      <c r="AG51" s="208">
        <f t="shared" si="18"/>
        <v>4.9984000000000042E-2</v>
      </c>
      <c r="AH51" s="208">
        <f t="shared" si="18"/>
        <v>4.9987000000000045E-2</v>
      </c>
      <c r="AI51" s="208">
        <f t="shared" si="18"/>
        <v>-1</v>
      </c>
      <c r="AJ51" s="207" t="e">
        <f t="shared" si="18"/>
        <v>#DIV/0!</v>
      </c>
      <c r="AK51" s="297">
        <f>(AK50-S50)/S50</f>
        <v>6.6989507667473774E-2</v>
      </c>
      <c r="AL51" s="298">
        <f>(AL50-AK50)/AK50</f>
        <v>5.9001512859304085E-2</v>
      </c>
      <c r="AM51" s="299">
        <f>(AM50-$AK$50)/$AK$50</f>
        <v>5.9001512859304085E-2</v>
      </c>
      <c r="AN51" s="282" t="s">
        <v>156</v>
      </c>
      <c r="AO51" s="299">
        <f>(AO50-$AK$50)/$AK$50</f>
        <v>5.9001512859304085E-2</v>
      </c>
      <c r="AP51" s="282" t="s">
        <v>156</v>
      </c>
      <c r="AQ51" s="299">
        <f>(AQ50-$AK$50)/$AK$50</f>
        <v>5.9001512859304085E-2</v>
      </c>
      <c r="AR51" s="282" t="s">
        <v>156</v>
      </c>
      <c r="AT51" s="199" t="s">
        <v>60</v>
      </c>
      <c r="AU51" s="208">
        <v>6.6989507667473774E-2</v>
      </c>
      <c r="AV51" s="208">
        <v>5.9001512859304085E-2</v>
      </c>
      <c r="AW51" s="208">
        <f>(AW50-AQ50)/AQ50</f>
        <v>0.05</v>
      </c>
      <c r="AX51" s="208">
        <f>(AX50-AW50)/AW50</f>
        <v>6.0000000000000032E-2</v>
      </c>
      <c r="AY51" s="208">
        <f t="shared" ref="AY51:BB51" si="19">(AY50-AX50)/AX50</f>
        <v>6.0000000000000123E-2</v>
      </c>
      <c r="AZ51" s="208">
        <f>(AZ50-AY50)/AY50</f>
        <v>6.4999999999999961E-2</v>
      </c>
      <c r="BA51" s="208">
        <f t="shared" si="19"/>
        <v>6.5000000000000002E-2</v>
      </c>
      <c r="BB51" s="208">
        <f t="shared" si="19"/>
        <v>7.0000000000000062E-2</v>
      </c>
    </row>
    <row r="52" spans="1:54" ht="15.4" x14ac:dyDescent="0.45">
      <c r="A52" s="199" t="s">
        <v>96</v>
      </c>
      <c r="B52" s="205">
        <v>0.11506352087114347</v>
      </c>
      <c r="C52" s="206">
        <v>9.423828125E-2</v>
      </c>
      <c r="D52" s="206">
        <v>8.389112003569843E-2</v>
      </c>
      <c r="E52" s="206">
        <v>0.10786331823795803</v>
      </c>
      <c r="F52" s="206">
        <v>0.16524216524216517</v>
      </c>
      <c r="G52" s="206">
        <v>0.20499999999999999</v>
      </c>
      <c r="H52" s="206">
        <v>0.13902611150317568</v>
      </c>
      <c r="I52" s="206">
        <v>-5.0185870768587382E-2</v>
      </c>
      <c r="J52" s="206">
        <v>9.1086988385304934E-3</v>
      </c>
      <c r="K52" s="195">
        <v>3.5250000000000004E-2</v>
      </c>
      <c r="L52" s="195">
        <v>4.2000000000000003E-2</v>
      </c>
      <c r="M52" s="195">
        <v>4.6000000000000041E-2</v>
      </c>
      <c r="N52" s="195">
        <v>5.0000000000000044E-2</v>
      </c>
      <c r="O52" s="195">
        <v>5.2000000000000046E-2</v>
      </c>
      <c r="P52" s="207">
        <v>6.0581099999999832E-2</v>
      </c>
      <c r="Q52" s="208">
        <v>6.2370574999999873E-2</v>
      </c>
      <c r="R52" s="208">
        <v>6.2370574999999873E-2</v>
      </c>
      <c r="S52" s="208">
        <v>2.9000000000000001E-2</v>
      </c>
      <c r="T52" s="208">
        <v>5.8000000000000003E-2</v>
      </c>
      <c r="U52" s="208">
        <v>5.8000000000000003E-2</v>
      </c>
      <c r="V52" s="208">
        <v>5.8000000000000003E-2</v>
      </c>
      <c r="W52" s="208">
        <v>5.8000000000000003E-2</v>
      </c>
      <c r="X52" s="208">
        <v>5.8000000000000003E-2</v>
      </c>
      <c r="Y52" s="208">
        <v>5.8000000000000003E-2</v>
      </c>
      <c r="Z52" s="208">
        <v>5.8000000000000003E-2</v>
      </c>
      <c r="AA52" s="208">
        <v>5.8000000000000003E-2</v>
      </c>
      <c r="AB52" s="208">
        <v>5.8000000000000003E-2</v>
      </c>
      <c r="AC52" s="208">
        <v>5.8000000000000003E-2</v>
      </c>
      <c r="AD52" s="208">
        <v>5.8000000000000003E-2</v>
      </c>
      <c r="AE52" s="208">
        <v>5.8000000000000003E-2</v>
      </c>
      <c r="AF52" s="208">
        <v>5.8000000000000003E-2</v>
      </c>
      <c r="AG52" s="208">
        <v>5.8000000000000003E-2</v>
      </c>
      <c r="AH52" s="208">
        <v>5.8000000000000003E-2</v>
      </c>
      <c r="AI52" s="208">
        <v>5.8000000000000003E-2</v>
      </c>
      <c r="AJ52" s="207">
        <v>5.8000000000000003E-2</v>
      </c>
      <c r="AK52" s="297">
        <v>6.8000000000000005E-2</v>
      </c>
      <c r="AL52" s="300">
        <v>8.3000000000000004E-2</v>
      </c>
      <c r="AM52" s="301">
        <v>7.9000000000000001E-2</v>
      </c>
      <c r="AN52" s="282"/>
      <c r="AO52" s="301">
        <v>7.9000000000000001E-2</v>
      </c>
      <c r="AP52" s="282"/>
      <c r="AQ52" s="301">
        <v>7.9000000000000001E-2</v>
      </c>
      <c r="AR52" s="282"/>
      <c r="AT52" s="199" t="s">
        <v>96</v>
      </c>
      <c r="AU52" s="208">
        <v>6.8000000000000005E-2</v>
      </c>
      <c r="AV52" s="208">
        <v>7.9000000000000001E-2</v>
      </c>
      <c r="AW52" s="208">
        <v>7.0000000000000007E-2</v>
      </c>
      <c r="AX52" s="208">
        <v>6.4000000000000001E-2</v>
      </c>
      <c r="AY52" s="208"/>
      <c r="AZ52" s="208"/>
      <c r="BA52" s="208"/>
      <c r="BB52" s="208"/>
    </row>
    <row r="53" spans="1:54" ht="15.4" x14ac:dyDescent="0.45">
      <c r="A53" s="199" t="s">
        <v>63</v>
      </c>
      <c r="B53" s="205"/>
      <c r="C53" s="206"/>
      <c r="D53" s="206"/>
      <c r="E53" s="206"/>
      <c r="F53" s="206"/>
      <c r="G53" s="206"/>
      <c r="H53" s="206"/>
      <c r="I53" s="206"/>
      <c r="J53" s="206"/>
      <c r="K53" s="195"/>
      <c r="L53" s="195"/>
      <c r="M53" s="195"/>
      <c r="N53" s="195"/>
      <c r="O53" s="195"/>
      <c r="P53" s="210">
        <v>1.4735994780322E-2</v>
      </c>
      <c r="Q53" s="208">
        <v>8.3090802600220195E-3</v>
      </c>
      <c r="R53" s="208">
        <v>2.6660650000000001E-2</v>
      </c>
      <c r="S53" s="208">
        <v>3.379368E-2</v>
      </c>
      <c r="T53" s="208">
        <v>4.2907000000000001E-2</v>
      </c>
      <c r="U53" s="208">
        <v>4.2907000000000001E-2</v>
      </c>
      <c r="V53" s="208">
        <v>4.2907000000000001E-2</v>
      </c>
      <c r="W53" s="208">
        <v>4.2907000000000001E-2</v>
      </c>
      <c r="X53" s="208">
        <v>4.2907000000000001E-2</v>
      </c>
      <c r="Y53" s="208">
        <v>4.2907000000000001E-2</v>
      </c>
      <c r="Z53" s="208">
        <v>4.2907000000000001E-2</v>
      </c>
      <c r="AA53" s="208">
        <v>4.2907000000000001E-2</v>
      </c>
      <c r="AB53" s="208">
        <v>4.2907000000000001E-2</v>
      </c>
      <c r="AC53" s="208">
        <v>4.2907000000000001E-2</v>
      </c>
      <c r="AD53" s="208">
        <v>4.2907000000000001E-2</v>
      </c>
      <c r="AE53" s="208">
        <v>4.2907000000000001E-2</v>
      </c>
      <c r="AF53" s="208">
        <v>4.2907000000000001E-2</v>
      </c>
      <c r="AG53" s="208">
        <v>4.2907000000000001E-2</v>
      </c>
      <c r="AH53" s="208">
        <v>4.2907000000000001E-2</v>
      </c>
      <c r="AI53" s="208">
        <v>4.2907000000000001E-2</v>
      </c>
      <c r="AJ53" s="207">
        <v>4.2907000000000001E-2</v>
      </c>
      <c r="AK53" s="297">
        <v>3.172585E-2</v>
      </c>
      <c r="AL53" s="300">
        <v>3.09118E-2</v>
      </c>
      <c r="AM53" s="301">
        <v>0.03</v>
      </c>
      <c r="AN53" s="282"/>
      <c r="AO53" s="301">
        <v>0.03</v>
      </c>
      <c r="AP53" s="282"/>
      <c r="AQ53" s="301">
        <v>3.0293819999999999E-2</v>
      </c>
      <c r="AR53" s="282"/>
      <c r="AT53" s="199" t="s">
        <v>63</v>
      </c>
      <c r="AU53" s="208">
        <v>3.172585E-2</v>
      </c>
      <c r="AV53" s="208">
        <v>3.0293819999999999E-2</v>
      </c>
      <c r="AW53" s="208">
        <v>3.4839660000000001E-2</v>
      </c>
      <c r="AX53" s="208">
        <v>3.6538719999999997E-2</v>
      </c>
      <c r="AY53" s="208">
        <v>3.7008600000000003E-2</v>
      </c>
      <c r="AZ53" s="208">
        <v>3.6613960000000001E-2</v>
      </c>
      <c r="BA53" s="208">
        <v>3.8853890000000002E-2</v>
      </c>
      <c r="BB53" s="208">
        <v>3.886887E-2</v>
      </c>
    </row>
    <row r="54" spans="1:54" ht="15.4" x14ac:dyDescent="0.45">
      <c r="A54" s="211"/>
      <c r="B54" s="212"/>
      <c r="C54" s="212"/>
      <c r="D54" s="212"/>
      <c r="E54" s="212"/>
      <c r="F54" s="212"/>
      <c r="G54" s="213"/>
      <c r="H54" s="214"/>
      <c r="I54" s="214"/>
      <c r="J54" s="213"/>
      <c r="K54" s="213"/>
      <c r="L54" s="215"/>
      <c r="M54" s="216"/>
      <c r="N54" s="216"/>
      <c r="O54" s="216"/>
      <c r="P54" s="216"/>
      <c r="Q54" s="217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192"/>
      <c r="AJ54" s="283"/>
      <c r="AK54" s="293"/>
      <c r="AL54" s="302"/>
      <c r="AM54" s="303"/>
      <c r="AN54" s="282"/>
      <c r="AO54" s="304"/>
      <c r="AP54" s="282"/>
      <c r="AQ54" s="304"/>
      <c r="AR54" s="282"/>
      <c r="AT54" s="211"/>
      <c r="AU54" s="203"/>
      <c r="AV54" s="203"/>
      <c r="AW54" s="203"/>
      <c r="AX54" s="203"/>
      <c r="AY54" s="203"/>
      <c r="AZ54" s="203"/>
      <c r="BA54" s="203"/>
      <c r="BB54" s="203"/>
    </row>
    <row r="55" spans="1:54" ht="15" x14ac:dyDescent="0.4">
      <c r="A55" s="218" t="s">
        <v>65</v>
      </c>
      <c r="B55" s="219">
        <v>4637346</v>
      </c>
      <c r="C55" s="219">
        <v>5253387</v>
      </c>
      <c r="D55" s="219">
        <v>5759297.4192476328</v>
      </c>
      <c r="E55" s="219">
        <v>6967735.6742039807</v>
      </c>
      <c r="F55" s="219">
        <v>8524990.7328109629</v>
      </c>
      <c r="G55" s="219">
        <v>9817542.9166719895</v>
      </c>
      <c r="H55" s="219">
        <v>8291618.6340802489</v>
      </c>
      <c r="I55" s="219">
        <v>7464842.4577863561</v>
      </c>
      <c r="J55" s="219">
        <v>7798115</v>
      </c>
      <c r="K55" s="219">
        <f>K48*K57-1</f>
        <v>8275602.3213967998</v>
      </c>
      <c r="L55" s="219">
        <f>L48*L57-1</f>
        <v>8963676.9399634991</v>
      </c>
      <c r="M55" s="219">
        <f>M48*M57</f>
        <v>9533974.8910560012</v>
      </c>
      <c r="N55" s="219">
        <f>N48*N57+1543</f>
        <v>10270535.800000001</v>
      </c>
      <c r="O55" s="219">
        <f>CEILING((O48*O57),100)+502</f>
        <v>10781702</v>
      </c>
      <c r="P55" s="220">
        <f t="shared" ref="P55:AB55" si="20">+P48*P57+(P48*P57*P53)</f>
        <v>11542918</v>
      </c>
      <c r="Q55" s="219">
        <f t="shared" si="20"/>
        <v>12830999</v>
      </c>
      <c r="R55" s="219">
        <f>+R48*R57+(R48*R57*R53)</f>
        <v>13989836.831577109</v>
      </c>
      <c r="S55" s="219">
        <f>+S48*S57+(S48*S57*S53)</f>
        <v>14103477.144058919</v>
      </c>
      <c r="T55" s="219">
        <f>+T48*T57+(T48*T57*T53)</f>
        <v>14946429.878128031</v>
      </c>
      <c r="U55" s="219">
        <f t="shared" si="20"/>
        <v>15847159.588260001</v>
      </c>
      <c r="V55" s="221">
        <f t="shared" si="20"/>
        <v>13922749.379747519</v>
      </c>
      <c r="W55" s="221">
        <f>+W48*W57+(W48*W57*W53)</f>
        <v>14465182.49755488</v>
      </c>
      <c r="X55" s="222">
        <f>+X48*X57+(X48*X57*X53)</f>
        <v>15098387.846127769</v>
      </c>
      <c r="Y55" s="222">
        <f t="shared" si="20"/>
        <v>15859249.184618758</v>
      </c>
      <c r="Z55" s="222">
        <f t="shared" si="20"/>
        <v>16694964.433692699</v>
      </c>
      <c r="AA55" s="222">
        <f t="shared" si="20"/>
        <v>17407225.912477132</v>
      </c>
      <c r="AB55" s="222">
        <f t="shared" si="20"/>
        <v>18149756.366470411</v>
      </c>
      <c r="AC55" s="223">
        <v>15215100</v>
      </c>
      <c r="AD55" s="223">
        <f>CEILING((AD48*AD57),100)-55</f>
        <v>16107845</v>
      </c>
      <c r="AE55" s="223">
        <f>CEILING((AE48*AE57),100)-85</f>
        <v>17074015</v>
      </c>
      <c r="AF55" s="223">
        <f>CEILING((AF48*AF57),100)-85</f>
        <v>17927415</v>
      </c>
      <c r="AG55" s="223">
        <f>CEILING((AG48*AG57),100)-85</f>
        <v>18823515</v>
      </c>
      <c r="AH55" s="223">
        <f>CEILING((AH48*AH57),100)-85</f>
        <v>19764515</v>
      </c>
      <c r="AI55" s="192"/>
      <c r="AJ55" s="283"/>
      <c r="AK55" s="305">
        <f>+AK48*AK57+(AK48*AK57*AK53)</f>
        <v>14973138.912346361</v>
      </c>
      <c r="AL55" s="306">
        <f>+AL48*AL57+(AL48*AL57*AL53)</f>
        <v>16032562.17204096</v>
      </c>
      <c r="AM55" s="218">
        <f>+AM48*AM57+(AM48*AM57*AM53)</f>
        <v>15563079.168</v>
      </c>
      <c r="AN55" s="307">
        <f>ROUND((+AM55-$AL$55),0)</f>
        <v>-469483</v>
      </c>
      <c r="AO55" s="218">
        <f>+AO48*AO57+(AO48*AO57*AO53)</f>
        <v>15728643.84</v>
      </c>
      <c r="AP55" s="307">
        <f>ROUND((+AO55-$AL$55),0)</f>
        <v>-303918</v>
      </c>
      <c r="AQ55" s="218">
        <f>+AQ48*AQ57+(AQ48*AQ57*AQ53)</f>
        <v>15784884.3457032</v>
      </c>
      <c r="AR55" s="307">
        <f>ROUND((+AQ55-$AL$55),0)</f>
        <v>-247678</v>
      </c>
      <c r="AT55" s="218" t="s">
        <v>65</v>
      </c>
      <c r="AU55" s="219">
        <v>14973138.912346361</v>
      </c>
      <c r="AV55" s="219">
        <v>15784884.3457032</v>
      </c>
      <c r="AW55" s="219">
        <f>+AW48*AW57+(AW48*AW57*AW53)</f>
        <v>16811000.080082208</v>
      </c>
      <c r="AX55" s="219">
        <f t="shared" ref="AX55:BB55" si="21">+AX48*AX57+(AX48*AX57*AX53)</f>
        <v>17987999.91379834</v>
      </c>
      <c r="AY55" s="219">
        <f t="shared" si="21"/>
        <v>19248000.048075903</v>
      </c>
      <c r="AZ55" s="219">
        <f t="shared" si="21"/>
        <v>20596000.052614108</v>
      </c>
      <c r="BA55" s="219">
        <f t="shared" si="21"/>
        <v>22038000.068379708</v>
      </c>
      <c r="BB55" s="219">
        <f t="shared" si="21"/>
        <v>23581000.100085665</v>
      </c>
    </row>
    <row r="56" spans="1:54" ht="15.4" x14ac:dyDescent="0.45">
      <c r="A56" s="199" t="s">
        <v>66</v>
      </c>
      <c r="B56" s="205"/>
      <c r="C56" s="206">
        <f t="shared" ref="C56:R56" si="22">(C55-B55)/B55</f>
        <v>0.13284344105443069</v>
      </c>
      <c r="D56" s="206">
        <f t="shared" si="22"/>
        <v>9.630176098727028E-2</v>
      </c>
      <c r="E56" s="206">
        <f t="shared" si="22"/>
        <v>0.20982390159565895</v>
      </c>
      <c r="F56" s="206">
        <f t="shared" si="22"/>
        <v>0.22349513980162411</v>
      </c>
      <c r="G56" s="206">
        <f t="shared" si="22"/>
        <v>0.15161918931902824</v>
      </c>
      <c r="H56" s="206">
        <f t="shared" si="22"/>
        <v>-0.1554283282022064</v>
      </c>
      <c r="I56" s="206">
        <f t="shared" si="22"/>
        <v>-9.9712277274267486E-2</v>
      </c>
      <c r="J56" s="206">
        <f t="shared" si="22"/>
        <v>4.4645623011911953E-2</v>
      </c>
      <c r="K56" s="195">
        <f>(K55-J55)/J55</f>
        <v>6.1231120776854372E-2</v>
      </c>
      <c r="L56" s="195">
        <f>(L55-K55)/K55</f>
        <v>8.3144959344851943E-2</v>
      </c>
      <c r="M56" s="195">
        <f t="shared" si="22"/>
        <v>6.3623215663863988E-2</v>
      </c>
      <c r="N56" s="195">
        <f t="shared" si="22"/>
        <v>7.7256434735839402E-2</v>
      </c>
      <c r="O56" s="195">
        <f t="shared" si="22"/>
        <v>4.9770159021304342E-2</v>
      </c>
      <c r="P56" s="210">
        <f>(P55-O55)/O55</f>
        <v>7.0602582041314074E-2</v>
      </c>
      <c r="Q56" s="195">
        <v>0.11159059666064475</v>
      </c>
      <c r="R56" s="195">
        <f t="shared" si="22"/>
        <v>9.031547984510864E-2</v>
      </c>
      <c r="S56" s="195">
        <f>(S55-R55)/R55</f>
        <v>8.1230620378149512E-3</v>
      </c>
      <c r="T56" s="195">
        <f>(T55-S55)/S55</f>
        <v>5.9769142422030727E-2</v>
      </c>
      <c r="U56" s="195">
        <f>(U55-T55)/T55</f>
        <v>6.0263870200204718E-2</v>
      </c>
      <c r="V56" s="195">
        <f>(V55-R55)/R55</f>
        <v>-4.7954420510583585E-3</v>
      </c>
      <c r="W56" s="195">
        <f>(W55-R55)/R55</f>
        <v>3.3977927812913852E-2</v>
      </c>
      <c r="X56" s="195">
        <f>(X55-W55)/W55</f>
        <v>4.3774445893090055E-2</v>
      </c>
      <c r="Y56" s="195">
        <f>(Y55-X55)/X55</f>
        <v>5.0393548387096476E-2</v>
      </c>
      <c r="Z56" s="195">
        <f>(Z55-Y55)/Y55</f>
        <v>5.2695763799743278E-2</v>
      </c>
      <c r="AA56" s="195">
        <f>(AA55-Z55)/Z55</f>
        <v>4.2663252240717119E-2</v>
      </c>
      <c r="AB56" s="195">
        <f>(AB55-AA55)/AA55</f>
        <v>4.2656449553001394E-2</v>
      </c>
      <c r="AC56" s="195">
        <v>6.4737578726382083E-2</v>
      </c>
      <c r="AD56" s="195">
        <f>(AD55-AC55)/AC55</f>
        <v>5.8674934768749465E-2</v>
      </c>
      <c r="AE56" s="195">
        <f>(AE55-AD55)/AD55</f>
        <v>5.9981332077630498E-2</v>
      </c>
      <c r="AF56" s="195">
        <f>(AF55-AE55)/AE55</f>
        <v>4.9982385513893481E-2</v>
      </c>
      <c r="AG56" s="195">
        <f>(AG55-AF55)/AF55</f>
        <v>4.9984897432228795E-2</v>
      </c>
      <c r="AH56" s="195">
        <f>(AH55-AG55)/AG55</f>
        <v>4.9990663274101572E-2</v>
      </c>
      <c r="AI56" s="192"/>
      <c r="AJ56" s="283"/>
      <c r="AK56" s="288">
        <f>(AK55-S55)/S55</f>
        <v>6.1662933147928499E-2</v>
      </c>
      <c r="AL56" s="308">
        <f>(AL55-AK55)/AK55</f>
        <v>7.0754920921827072E-2</v>
      </c>
      <c r="AM56" s="309">
        <f>(AM55-$AK$55)/$AK$55</f>
        <v>3.9399905330951876E-2</v>
      </c>
      <c r="AN56" s="282"/>
      <c r="AO56" s="309">
        <f>(AO55-$AK$55)/$AK$55</f>
        <v>5.0457351132345001E-2</v>
      </c>
      <c r="AP56" s="282"/>
      <c r="AQ56" s="309">
        <f>(AQ55-$AK$55)/$AK$55</f>
        <v>5.4213444362524385E-2</v>
      </c>
      <c r="AR56" s="282"/>
      <c r="AT56" s="199" t="s">
        <v>66</v>
      </c>
      <c r="AU56" s="195">
        <v>6.1662933147928499E-2</v>
      </c>
      <c r="AV56" s="195">
        <v>5.4213444362524385E-2</v>
      </c>
      <c r="AW56" s="195">
        <f>(AW55-AQ55)/AQ55</f>
        <v>6.5006224430040074E-2</v>
      </c>
      <c r="AX56" s="195">
        <f>(AX55-AW55)/AW55</f>
        <v>7.0013671293158192E-2</v>
      </c>
      <c r="AY56" s="195">
        <f t="shared" ref="AY56:BB56" si="23">(AY55-AX55)/AX55</f>
        <v>7.0046705599049686E-2</v>
      </c>
      <c r="AZ56" s="195">
        <f t="shared" si="23"/>
        <v>7.0033250268666497E-2</v>
      </c>
      <c r="BA56" s="195">
        <f t="shared" si="23"/>
        <v>7.0013595459404596E-2</v>
      </c>
      <c r="BB56" s="195">
        <f t="shared" si="23"/>
        <v>7.0015429118718678E-2</v>
      </c>
    </row>
    <row r="57" spans="1:54" ht="15.4" x14ac:dyDescent="0.45">
      <c r="A57" s="199" t="s">
        <v>67</v>
      </c>
      <c r="B57" s="205">
        <f t="shared" ref="B57:J57" si="24">B55/B48</f>
        <v>0.11492344134661686</v>
      </c>
      <c r="C57" s="206">
        <f t="shared" si="24"/>
        <v>0.11773768014017215</v>
      </c>
      <c r="D57" s="206">
        <f t="shared" si="24"/>
        <v>0.11556827013878172</v>
      </c>
      <c r="E57" s="206">
        <f t="shared" si="24"/>
        <v>0.11784251729079361</v>
      </c>
      <c r="F57" s="206">
        <f t="shared" si="24"/>
        <v>0.11845246805965556</v>
      </c>
      <c r="G57" s="206">
        <f>G55/G48</f>
        <v>0.1208226484442044</v>
      </c>
      <c r="H57" s="206">
        <f t="shared" si="24"/>
        <v>0.11798416589098459</v>
      </c>
      <c r="I57" s="206">
        <f t="shared" si="24"/>
        <v>0.11512957216868754</v>
      </c>
      <c r="J57" s="206">
        <f t="shared" si="24"/>
        <v>0.11554277172383214</v>
      </c>
      <c r="K57" s="195">
        <v>0.114</v>
      </c>
      <c r="L57" s="208">
        <v>0.1157</v>
      </c>
      <c r="M57" s="208">
        <v>0.11600000000000001</v>
      </c>
      <c r="N57" s="208">
        <v>0.11600000000000001</v>
      </c>
      <c r="O57" s="208">
        <v>0.11600000000000001</v>
      </c>
      <c r="P57" s="208">
        <v>0.11600000000000001</v>
      </c>
      <c r="Q57" s="224">
        <v>0.1186</v>
      </c>
      <c r="R57" s="225">
        <v>0.1193</v>
      </c>
      <c r="S57" s="225">
        <v>0.1196</v>
      </c>
      <c r="T57" s="225">
        <v>0.1196</v>
      </c>
      <c r="U57" s="225">
        <v>0.1196</v>
      </c>
      <c r="V57" s="224">
        <v>0.1196</v>
      </c>
      <c r="W57" s="225">
        <v>0.1196</v>
      </c>
      <c r="X57" s="226">
        <v>0.1196</v>
      </c>
      <c r="Y57" s="224">
        <v>0.1196</v>
      </c>
      <c r="Z57" s="224">
        <v>0.1196</v>
      </c>
      <c r="AA57" s="224">
        <v>0.1196</v>
      </c>
      <c r="AB57" s="227">
        <v>0.1196</v>
      </c>
      <c r="AC57" s="228">
        <v>0.1196</v>
      </c>
      <c r="AD57" s="224">
        <f>+AC57</f>
        <v>0.1196</v>
      </c>
      <c r="AE57" s="224">
        <f>+AD57</f>
        <v>0.1196</v>
      </c>
      <c r="AF57" s="224">
        <f>+AE57</f>
        <v>0.1196</v>
      </c>
      <c r="AG57" s="224">
        <f>+AF57</f>
        <v>0.1196</v>
      </c>
      <c r="AH57" s="224">
        <f>+AG57</f>
        <v>0.1196</v>
      </c>
      <c r="AK57" s="310">
        <v>0.1196</v>
      </c>
      <c r="AL57" s="311">
        <v>0.1196</v>
      </c>
      <c r="AM57" s="226">
        <v>0.1196</v>
      </c>
      <c r="AN57" s="282"/>
      <c r="AO57" s="226">
        <v>0.1196</v>
      </c>
      <c r="AP57" s="282"/>
      <c r="AQ57" s="226">
        <v>0.1196</v>
      </c>
      <c r="AR57" s="282"/>
      <c r="AT57" s="199" t="s">
        <v>67</v>
      </c>
      <c r="AU57" s="225">
        <v>0.1196</v>
      </c>
      <c r="AV57" s="225">
        <v>0.1196</v>
      </c>
      <c r="AW57" s="225">
        <v>0.1196</v>
      </c>
      <c r="AX57" s="225">
        <v>0.1196</v>
      </c>
      <c r="AY57" s="225">
        <v>0.1196</v>
      </c>
      <c r="AZ57" s="225">
        <v>0.1196</v>
      </c>
      <c r="BA57" s="225">
        <v>0.1196</v>
      </c>
      <c r="BB57" s="225">
        <v>0.1196</v>
      </c>
    </row>
    <row r="58" spans="1:54" ht="15.75" thickBot="1" x14ac:dyDescent="0.5">
      <c r="A58" s="229" t="s">
        <v>76</v>
      </c>
      <c r="B58" s="230"/>
      <c r="C58" s="230"/>
      <c r="D58" s="230"/>
      <c r="E58" s="230"/>
      <c r="F58" s="230"/>
      <c r="G58" s="230"/>
      <c r="H58" s="230"/>
      <c r="I58" s="230"/>
      <c r="J58" s="231">
        <v>7798115</v>
      </c>
      <c r="K58" s="231"/>
      <c r="L58" s="231"/>
      <c r="M58" s="232" t="s">
        <v>77</v>
      </c>
      <c r="N58" s="231">
        <v>10009420</v>
      </c>
      <c r="O58" s="231"/>
      <c r="P58" s="233">
        <f t="shared" ref="P58:U58" si="25">+P55-O55</f>
        <v>761216</v>
      </c>
      <c r="Q58" s="233">
        <f t="shared" si="25"/>
        <v>1288081</v>
      </c>
      <c r="R58" s="234">
        <f t="shared" si="25"/>
        <v>1158837.8315771092</v>
      </c>
      <c r="S58" s="234">
        <f t="shared" si="25"/>
        <v>113640.31248180941</v>
      </c>
      <c r="T58" s="234">
        <f t="shared" si="25"/>
        <v>842952.73406911269</v>
      </c>
      <c r="U58" s="234">
        <f t="shared" si="25"/>
        <v>900729.7101319693</v>
      </c>
      <c r="V58" s="233">
        <f>+V55-R55</f>
        <v>-67087.451829589903</v>
      </c>
      <c r="W58" s="234">
        <f>+W55-R55</f>
        <v>475345.66597777046</v>
      </c>
      <c r="X58" s="229">
        <f>+X55-W55</f>
        <v>633205.34857288934</v>
      </c>
      <c r="Y58" s="233">
        <f>+Y55-X55</f>
        <v>760861.33849098906</v>
      </c>
      <c r="Z58" s="233">
        <f>+Z55-Y55</f>
        <v>835715.24907394126</v>
      </c>
      <c r="AA58" s="233">
        <f>+AA55-Z55</f>
        <v>712261.47878443263</v>
      </c>
      <c r="AB58" s="235">
        <f>+AB55-AA55</f>
        <v>742530.45399327949</v>
      </c>
      <c r="AC58" s="236">
        <v>925100</v>
      </c>
      <c r="AD58" s="190">
        <f>+AD55-AC55</f>
        <v>892745</v>
      </c>
      <c r="AE58" s="190">
        <f>+AE55-AD55</f>
        <v>966170</v>
      </c>
      <c r="AF58" s="190">
        <f>+AF55-AE55</f>
        <v>853400</v>
      </c>
      <c r="AG58" s="190">
        <f>+AG55-AF55</f>
        <v>896100</v>
      </c>
      <c r="AH58" s="190">
        <f>+AH55-AG55</f>
        <v>941000</v>
      </c>
      <c r="AK58" s="312">
        <f>+AK55-S55</f>
        <v>869661.76828744262</v>
      </c>
      <c r="AL58" s="313">
        <f>+AL55-AK55</f>
        <v>1059423.2596945986</v>
      </c>
      <c r="AM58" s="229">
        <f>+AM55-$AK$55</f>
        <v>589940.25565363839</v>
      </c>
      <c r="AN58" s="282"/>
      <c r="AO58" s="229">
        <f>+AO55-$AK$55</f>
        <v>755504.92765363865</v>
      </c>
      <c r="AP58" s="282"/>
      <c r="AQ58" s="229">
        <f>+AQ55-$AK$55</f>
        <v>811745.4333568383</v>
      </c>
      <c r="AR58" s="282"/>
      <c r="AT58" s="229" t="s">
        <v>76</v>
      </c>
      <c r="AU58" s="234">
        <v>869661.76828744262</v>
      </c>
      <c r="AV58" s="234">
        <v>811745.4333568383</v>
      </c>
      <c r="AW58" s="234">
        <f>+AW55-AQ55</f>
        <v>1026115.7343790084</v>
      </c>
      <c r="AX58" s="234">
        <f>+AX55-AW55</f>
        <v>1176999.8337161317</v>
      </c>
      <c r="AY58" s="234">
        <f t="shared" ref="AY58:BB58" si="26">+AY55-AX55</f>
        <v>1260000.1342775635</v>
      </c>
      <c r="AZ58" s="234">
        <f t="shared" si="26"/>
        <v>1348000.0045382045</v>
      </c>
      <c r="BA58" s="234">
        <f t="shared" si="26"/>
        <v>1442000.0157655999</v>
      </c>
      <c r="BB58" s="234">
        <f t="shared" si="26"/>
        <v>1543000.0317059569</v>
      </c>
    </row>
    <row r="59" spans="1:54" ht="13.15" thickBot="1" x14ac:dyDescent="0.4">
      <c r="AL59" s="314"/>
      <c r="AM59" s="315"/>
      <c r="AN59" s="316"/>
      <c r="AO59" s="315"/>
      <c r="AP59" s="316"/>
      <c r="AQ59" s="315"/>
      <c r="AR59" s="316"/>
      <c r="AT59" s="112" t="s">
        <v>157</v>
      </c>
    </row>
    <row r="60" spans="1:54" ht="17.25" customHeight="1" x14ac:dyDescent="0.35">
      <c r="AR60" s="112">
        <v>247678</v>
      </c>
    </row>
    <row r="61" spans="1:54" ht="17.25" customHeight="1" x14ac:dyDescent="0.45">
      <c r="A61" s="317" t="s">
        <v>158</v>
      </c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248"/>
      <c r="V61" s="248"/>
      <c r="W61" s="248"/>
      <c r="X61" s="248"/>
      <c r="Y61" s="248"/>
      <c r="Z61" s="249"/>
      <c r="AA61" s="249"/>
      <c r="AB61" s="249"/>
      <c r="AC61" s="250"/>
      <c r="AD61" s="250"/>
      <c r="AE61" s="251"/>
      <c r="AF61" s="250"/>
      <c r="AG61" s="250"/>
      <c r="AH61" s="250"/>
      <c r="AI61" s="252"/>
      <c r="AJ61" s="252"/>
      <c r="AK61" s="253"/>
      <c r="AL61" s="253"/>
      <c r="AR61" s="160">
        <f>+AR60+AR55</f>
        <v>0</v>
      </c>
      <c r="AW61" s="160">
        <f>+AW42-AW55</f>
        <v>-8.0082207918167114E-2</v>
      </c>
      <c r="AX61" s="160">
        <f t="shared" ref="AX61:BB61" si="27">+AX42-AX55</f>
        <v>8.6201660335063934E-2</v>
      </c>
      <c r="AY61" s="160">
        <f t="shared" si="27"/>
        <v>-4.8075903207063675E-2</v>
      </c>
      <c r="AZ61" s="160">
        <f t="shared" si="27"/>
        <v>-5.2614107728004456E-2</v>
      </c>
      <c r="BA61" s="160">
        <f t="shared" si="27"/>
        <v>-6.8379707634449005E-2</v>
      </c>
      <c r="BB61" s="160">
        <f t="shared" si="27"/>
        <v>-0.10008566454052925</v>
      </c>
    </row>
    <row r="62" spans="1:54" ht="17.25" customHeight="1" x14ac:dyDescent="0.45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248"/>
      <c r="V62" s="248"/>
      <c r="W62" s="248"/>
      <c r="X62" s="248"/>
      <c r="Y62" s="248"/>
      <c r="Z62" s="249"/>
      <c r="AA62" s="249"/>
      <c r="AB62" s="249"/>
      <c r="AC62" s="250"/>
      <c r="AD62" s="250"/>
      <c r="AE62" s="251"/>
      <c r="AF62" s="250"/>
      <c r="AG62" s="250"/>
      <c r="AH62" s="250"/>
      <c r="AI62" s="252"/>
      <c r="AJ62" s="252"/>
      <c r="AK62" s="252"/>
      <c r="AL62" s="253"/>
    </row>
    <row r="63" spans="1:54" ht="17.25" customHeight="1" x14ac:dyDescent="0.45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248"/>
      <c r="V63" s="248"/>
      <c r="W63" s="248"/>
      <c r="X63" s="248"/>
      <c r="Y63" s="248"/>
      <c r="Z63" s="249"/>
      <c r="AA63" s="249"/>
      <c r="AB63" s="249"/>
      <c r="AC63" s="250"/>
      <c r="AD63" s="250"/>
      <c r="AE63" s="251"/>
      <c r="AF63" s="250"/>
      <c r="AG63" s="250"/>
      <c r="AH63" s="250"/>
      <c r="AI63" s="252"/>
      <c r="AJ63" s="252"/>
      <c r="AK63" s="252"/>
      <c r="AL63" s="253"/>
      <c r="AW63" s="112">
        <f>+AW61/AW55</f>
        <v>-4.7636789921290339E-9</v>
      </c>
      <c r="AX63" s="112">
        <f t="shared" ref="AX63:BB63" si="28">+AX61/AX55</f>
        <v>4.7921759366331698E-9</v>
      </c>
      <c r="AY63" s="112">
        <f t="shared" si="28"/>
        <v>-2.4977090132473014E-9</v>
      </c>
      <c r="AZ63" s="112">
        <f t="shared" si="28"/>
        <v>-2.5545789276363162E-9</v>
      </c>
      <c r="BA63" s="112">
        <f t="shared" si="28"/>
        <v>-3.1028091216208287E-9</v>
      </c>
      <c r="BB63" s="112">
        <f t="shared" si="28"/>
        <v>-4.2443350203864195E-9</v>
      </c>
    </row>
    <row r="64" spans="1:54" ht="17.25" customHeight="1" x14ac:dyDescent="0.45">
      <c r="A64" s="172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248"/>
      <c r="V64" s="248"/>
      <c r="W64" s="248"/>
      <c r="X64" s="248"/>
      <c r="Y64" s="248"/>
      <c r="Z64" s="249"/>
      <c r="AA64" s="249"/>
      <c r="AB64" s="249"/>
      <c r="AC64" s="250"/>
      <c r="AD64" s="250"/>
      <c r="AE64" s="251"/>
      <c r="AF64" s="250"/>
      <c r="AG64" s="250"/>
      <c r="AH64" s="250"/>
      <c r="AI64" s="252"/>
      <c r="AJ64" s="252"/>
      <c r="AK64" s="252"/>
      <c r="AL64" s="253"/>
    </row>
    <row r="65" spans="1:38" ht="17.25" customHeight="1" x14ac:dyDescent="0.45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248"/>
      <c r="V65" s="248"/>
      <c r="W65" s="248"/>
      <c r="X65" s="248"/>
      <c r="Y65" s="248"/>
      <c r="Z65" s="249"/>
      <c r="AA65" s="249"/>
      <c r="AB65" s="249"/>
      <c r="AC65" s="250"/>
      <c r="AD65" s="250"/>
      <c r="AE65" s="251"/>
      <c r="AF65" s="250"/>
      <c r="AG65" s="250"/>
      <c r="AH65" s="250"/>
      <c r="AI65" s="252"/>
      <c r="AJ65" s="252"/>
      <c r="AK65" s="252"/>
      <c r="AL65" s="253"/>
    </row>
    <row r="66" spans="1:38" ht="17.25" customHeight="1" x14ac:dyDescent="0.45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248"/>
      <c r="V66" s="248"/>
      <c r="W66" s="248"/>
      <c r="X66" s="248"/>
      <c r="Y66" s="248"/>
      <c r="Z66" s="249"/>
      <c r="AA66" s="249"/>
      <c r="AB66" s="249"/>
      <c r="AC66" s="250"/>
      <c r="AD66" s="250"/>
      <c r="AE66" s="251"/>
      <c r="AF66" s="250"/>
      <c r="AG66" s="250"/>
      <c r="AH66" s="250"/>
      <c r="AI66" s="252"/>
      <c r="AJ66" s="252"/>
      <c r="AK66" s="252"/>
      <c r="AL66" s="253"/>
    </row>
    <row r="67" spans="1:38" ht="17.25" customHeight="1" x14ac:dyDescent="0.45">
      <c r="A67" s="17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248"/>
      <c r="V67" s="248"/>
      <c r="W67" s="248"/>
      <c r="X67" s="248"/>
      <c r="Y67" s="248"/>
      <c r="Z67" s="249"/>
      <c r="AA67" s="249"/>
      <c r="AB67" s="249"/>
      <c r="AC67" s="250"/>
      <c r="AD67" s="250"/>
      <c r="AE67" s="251"/>
      <c r="AF67" s="250"/>
      <c r="AG67" s="250"/>
      <c r="AH67" s="250"/>
      <c r="AI67" s="252"/>
      <c r="AJ67" s="252"/>
      <c r="AK67" s="252"/>
      <c r="AL67" s="253"/>
    </row>
    <row r="68" spans="1:38" ht="17.25" customHeight="1" x14ac:dyDescent="0.45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248"/>
      <c r="V68" s="248"/>
      <c r="W68" s="248"/>
      <c r="X68" s="248"/>
      <c r="Y68" s="248"/>
      <c r="Z68" s="249"/>
      <c r="AA68" s="249"/>
      <c r="AB68" s="249"/>
      <c r="AC68" s="250"/>
      <c r="AD68" s="250"/>
      <c r="AE68" s="251"/>
      <c r="AF68" s="250"/>
      <c r="AG68" s="250"/>
      <c r="AH68" s="250"/>
      <c r="AI68" s="252"/>
      <c r="AJ68" s="252"/>
      <c r="AK68" s="252"/>
      <c r="AL68" s="253"/>
    </row>
    <row r="69" spans="1:38" ht="17.25" customHeight="1" x14ac:dyDescent="0.4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248"/>
      <c r="V69" s="248"/>
      <c r="W69" s="248"/>
      <c r="X69" s="248"/>
      <c r="Y69" s="248"/>
      <c r="Z69" s="249"/>
      <c r="AA69" s="249"/>
      <c r="AB69" s="249"/>
      <c r="AC69" s="250"/>
      <c r="AD69" s="250"/>
      <c r="AE69" s="251"/>
      <c r="AF69" s="250"/>
      <c r="AG69" s="250"/>
      <c r="AH69" s="250"/>
      <c r="AI69" s="252"/>
      <c r="AJ69" s="252"/>
      <c r="AK69" s="252"/>
      <c r="AL69" s="253"/>
    </row>
    <row r="70" spans="1:38" ht="17.25" customHeight="1" x14ac:dyDescent="0.4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248"/>
      <c r="V70" s="248"/>
      <c r="W70" s="248"/>
      <c r="X70" s="248"/>
      <c r="Y70" s="248"/>
      <c r="Z70" s="249"/>
      <c r="AA70" s="249"/>
      <c r="AB70" s="249"/>
      <c r="AC70" s="250"/>
      <c r="AD70" s="250"/>
      <c r="AE70" s="251"/>
      <c r="AF70" s="250"/>
      <c r="AG70" s="250"/>
      <c r="AH70" s="250"/>
      <c r="AI70" s="252"/>
      <c r="AJ70" s="252"/>
      <c r="AK70" s="252"/>
      <c r="AL70" s="253"/>
    </row>
    <row r="71" spans="1:38" ht="17.25" customHeight="1" x14ac:dyDescent="0.4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248"/>
      <c r="V71" s="248"/>
      <c r="W71" s="248"/>
      <c r="X71" s="248"/>
      <c r="Y71" s="248"/>
      <c r="Z71" s="249"/>
      <c r="AA71" s="249"/>
      <c r="AB71" s="249"/>
      <c r="AC71" s="250"/>
      <c r="AD71" s="250"/>
      <c r="AE71" s="251"/>
      <c r="AF71" s="250"/>
      <c r="AG71" s="250"/>
      <c r="AH71" s="250"/>
      <c r="AI71" s="252"/>
      <c r="AJ71" s="252"/>
      <c r="AK71" s="252"/>
      <c r="AL71" s="253"/>
    </row>
    <row r="72" spans="1:38" ht="17.25" customHeight="1" x14ac:dyDescent="0.45">
      <c r="A72" s="172"/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248"/>
      <c r="V72" s="248"/>
      <c r="W72" s="248"/>
      <c r="X72" s="248"/>
      <c r="Y72" s="248"/>
      <c r="Z72" s="249"/>
      <c r="AA72" s="249"/>
      <c r="AB72" s="249"/>
      <c r="AC72" s="250"/>
      <c r="AD72" s="250"/>
      <c r="AE72" s="251"/>
      <c r="AF72" s="250"/>
      <c r="AG72" s="250"/>
      <c r="AH72" s="250"/>
      <c r="AI72" s="252"/>
      <c r="AJ72" s="252"/>
      <c r="AK72" s="252"/>
      <c r="AL72" s="253"/>
    </row>
    <row r="73" spans="1:38" ht="17.25" customHeight="1" x14ac:dyDescent="0.45">
      <c r="A73" s="172"/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248"/>
      <c r="V73" s="248"/>
      <c r="W73" s="248"/>
      <c r="X73" s="248"/>
      <c r="Y73" s="248"/>
      <c r="Z73" s="249"/>
      <c r="AA73" s="249"/>
      <c r="AB73" s="249"/>
      <c r="AC73" s="250"/>
      <c r="AD73" s="250"/>
      <c r="AE73" s="251"/>
      <c r="AF73" s="250"/>
      <c r="AG73" s="250"/>
      <c r="AH73" s="250"/>
      <c r="AI73" s="252"/>
      <c r="AJ73" s="252"/>
      <c r="AK73" s="252"/>
      <c r="AL73" s="253"/>
    </row>
    <row r="74" spans="1:38" ht="17.25" customHeight="1" x14ac:dyDescent="0.45">
      <c r="A74" s="172"/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248"/>
      <c r="V74" s="248"/>
      <c r="W74" s="248"/>
      <c r="X74" s="248"/>
      <c r="Y74" s="248"/>
      <c r="Z74" s="249"/>
      <c r="AA74" s="249"/>
      <c r="AB74" s="249"/>
      <c r="AC74" s="250"/>
      <c r="AD74" s="250"/>
      <c r="AE74" s="251"/>
      <c r="AF74" s="250"/>
      <c r="AG74" s="250"/>
      <c r="AH74" s="250"/>
      <c r="AI74" s="252"/>
      <c r="AJ74" s="252"/>
      <c r="AK74" s="252"/>
      <c r="AL74" s="253"/>
    </row>
    <row r="75" spans="1:38" ht="17.25" customHeight="1" x14ac:dyDescent="0.45">
      <c r="A75" s="172"/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248"/>
      <c r="V75" s="248"/>
      <c r="W75" s="248"/>
      <c r="X75" s="248"/>
      <c r="Y75" s="248"/>
      <c r="Z75" s="249"/>
      <c r="AA75" s="249"/>
      <c r="AB75" s="249"/>
      <c r="AC75" s="250"/>
      <c r="AD75" s="250"/>
      <c r="AE75" s="251"/>
      <c r="AF75" s="250"/>
      <c r="AG75" s="250"/>
      <c r="AH75" s="250"/>
      <c r="AI75" s="252"/>
      <c r="AJ75" s="252"/>
      <c r="AK75" s="252"/>
      <c r="AL75" s="253"/>
    </row>
    <row r="76" spans="1:38" ht="17.25" customHeight="1" x14ac:dyDescent="0.45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248"/>
      <c r="V76" s="248"/>
      <c r="W76" s="248"/>
      <c r="X76" s="248"/>
      <c r="Y76" s="248"/>
      <c r="Z76" s="249"/>
      <c r="AA76" s="249"/>
      <c r="AB76" s="249"/>
      <c r="AC76" s="250"/>
      <c r="AD76" s="250"/>
      <c r="AE76" s="251"/>
      <c r="AF76" s="250"/>
      <c r="AG76" s="250"/>
      <c r="AH76" s="250"/>
      <c r="AI76" s="252"/>
      <c r="AJ76" s="252"/>
      <c r="AK76" s="252"/>
      <c r="AL76" s="253"/>
    </row>
    <row r="77" spans="1:38" ht="17.25" customHeight="1" x14ac:dyDescent="0.4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248"/>
      <c r="V77" s="248"/>
      <c r="W77" s="248"/>
      <c r="X77" s="248"/>
      <c r="Y77" s="248"/>
      <c r="Z77" s="249"/>
      <c r="AA77" s="249"/>
      <c r="AB77" s="249"/>
      <c r="AC77" s="250"/>
      <c r="AD77" s="250"/>
      <c r="AE77" s="251"/>
      <c r="AF77" s="250"/>
      <c r="AG77" s="250"/>
      <c r="AH77" s="250"/>
      <c r="AI77" s="252"/>
      <c r="AJ77" s="252"/>
      <c r="AK77" s="252"/>
      <c r="AL77" s="253"/>
    </row>
    <row r="78" spans="1:38" ht="17.25" customHeight="1" x14ac:dyDescent="0.4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248"/>
      <c r="V78" s="248"/>
      <c r="W78" s="248"/>
      <c r="X78" s="248"/>
      <c r="Y78" s="248"/>
      <c r="Z78" s="249"/>
      <c r="AA78" s="249"/>
      <c r="AB78" s="249"/>
      <c r="AC78" s="250"/>
      <c r="AD78" s="250"/>
      <c r="AE78" s="251"/>
      <c r="AF78" s="250"/>
      <c r="AG78" s="250"/>
      <c r="AH78" s="250"/>
      <c r="AI78" s="252"/>
      <c r="AJ78" s="252"/>
      <c r="AK78" s="252"/>
      <c r="AL78" s="253"/>
    </row>
    <row r="79" spans="1:38" ht="17.25" customHeight="1" x14ac:dyDescent="0.45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248"/>
      <c r="V79" s="248"/>
      <c r="W79" s="248"/>
      <c r="X79" s="248"/>
      <c r="Y79" s="248"/>
      <c r="Z79" s="249"/>
      <c r="AA79" s="249"/>
      <c r="AB79" s="249"/>
      <c r="AC79" s="250"/>
      <c r="AD79" s="250"/>
      <c r="AE79" s="251"/>
      <c r="AF79" s="250"/>
      <c r="AG79" s="250"/>
      <c r="AH79" s="250"/>
      <c r="AI79" s="252"/>
      <c r="AJ79" s="252"/>
      <c r="AK79" s="252"/>
      <c r="AL79" s="253"/>
    </row>
    <row r="80" spans="1:38" ht="17.25" customHeight="1" x14ac:dyDescent="0.45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248"/>
      <c r="V80" s="248"/>
      <c r="W80" s="248"/>
      <c r="X80" s="248"/>
      <c r="Y80" s="248"/>
      <c r="Z80" s="249"/>
      <c r="AA80" s="249"/>
      <c r="AB80" s="249"/>
      <c r="AC80" s="250"/>
      <c r="AD80" s="250"/>
      <c r="AE80" s="251"/>
      <c r="AF80" s="250"/>
      <c r="AG80" s="250"/>
      <c r="AH80" s="250"/>
      <c r="AI80" s="252"/>
      <c r="AJ80" s="252"/>
      <c r="AK80" s="252"/>
      <c r="AL80" s="253"/>
    </row>
    <row r="81" spans="1:38" ht="17.25" customHeight="1" x14ac:dyDescent="0.45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248"/>
      <c r="V81" s="248"/>
      <c r="W81" s="248"/>
      <c r="X81" s="248"/>
      <c r="Y81" s="248"/>
      <c r="Z81" s="249"/>
      <c r="AA81" s="249"/>
      <c r="AB81" s="249"/>
      <c r="AC81" s="250"/>
      <c r="AD81" s="250"/>
      <c r="AE81" s="251"/>
      <c r="AF81" s="250"/>
      <c r="AG81" s="250"/>
      <c r="AH81" s="250"/>
      <c r="AI81" s="252"/>
      <c r="AJ81" s="252"/>
      <c r="AK81" s="252"/>
      <c r="AL81" s="253"/>
    </row>
    <row r="82" spans="1:38" ht="17.25" customHeight="1" x14ac:dyDescent="0.45">
      <c r="A82" s="172" t="s">
        <v>102</v>
      </c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248"/>
      <c r="V82" s="248"/>
      <c r="W82" s="248"/>
      <c r="X82" s="248"/>
      <c r="Y82" s="248"/>
      <c r="Z82" s="249" t="s">
        <v>103</v>
      </c>
      <c r="AA82" s="249" t="s">
        <v>104</v>
      </c>
      <c r="AB82" s="249" t="s">
        <v>105</v>
      </c>
      <c r="AC82" s="250" t="s">
        <v>106</v>
      </c>
      <c r="AD82" s="250" t="s">
        <v>52</v>
      </c>
      <c r="AE82" s="251" t="s">
        <v>53</v>
      </c>
      <c r="AF82" s="250" t="s">
        <v>107</v>
      </c>
      <c r="AG82" s="250" t="s">
        <v>55</v>
      </c>
      <c r="AH82" s="250" t="s">
        <v>56</v>
      </c>
      <c r="AI82" s="252"/>
      <c r="AJ82" s="252"/>
      <c r="AK82" s="252"/>
      <c r="AL82" s="253" t="s">
        <v>108</v>
      </c>
    </row>
    <row r="83" spans="1:38" ht="17.25" customHeight="1" x14ac:dyDescent="0.45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248"/>
      <c r="V83" s="248"/>
      <c r="W83" s="248"/>
      <c r="X83" s="248"/>
      <c r="Y83" s="248"/>
      <c r="Z83" s="249" t="s">
        <v>109</v>
      </c>
      <c r="AA83" s="249" t="s">
        <v>110</v>
      </c>
      <c r="AB83" s="249" t="s">
        <v>111</v>
      </c>
      <c r="AC83" s="250" t="s">
        <v>112</v>
      </c>
      <c r="AD83" s="250" t="s">
        <v>52</v>
      </c>
      <c r="AE83" s="251" t="s">
        <v>53</v>
      </c>
      <c r="AF83" s="250" t="s">
        <v>113</v>
      </c>
      <c r="AG83" s="250" t="s">
        <v>55</v>
      </c>
      <c r="AH83" s="250" t="s">
        <v>56</v>
      </c>
      <c r="AI83" s="252"/>
      <c r="AJ83" s="252"/>
      <c r="AK83" s="252"/>
      <c r="AL83" s="254" t="s">
        <v>114</v>
      </c>
    </row>
    <row r="84" spans="1:38" ht="13.5" customHeight="1" x14ac:dyDescent="0.4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255" t="s">
        <v>115</v>
      </c>
      <c r="AA84" s="255" t="s">
        <v>116</v>
      </c>
      <c r="AB84" s="255" t="s">
        <v>117</v>
      </c>
      <c r="AC84" s="126" t="s">
        <v>118</v>
      </c>
      <c r="AD84" s="126" t="s">
        <v>52</v>
      </c>
      <c r="AE84" s="127" t="s">
        <v>53</v>
      </c>
      <c r="AF84" s="126" t="s">
        <v>119</v>
      </c>
      <c r="AG84" s="126" t="s">
        <v>55</v>
      </c>
      <c r="AH84" s="126" t="s">
        <v>56</v>
      </c>
    </row>
    <row r="85" spans="1:38" ht="13.5" customHeight="1" x14ac:dyDescent="0.4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255" t="s">
        <v>120</v>
      </c>
      <c r="AA85" s="255" t="s">
        <v>121</v>
      </c>
      <c r="AB85" s="255" t="s">
        <v>122</v>
      </c>
      <c r="AC85" s="126" t="s">
        <v>123</v>
      </c>
      <c r="AD85" s="126" t="s">
        <v>52</v>
      </c>
      <c r="AE85" s="127" t="s">
        <v>53</v>
      </c>
      <c r="AF85" s="126" t="s">
        <v>124</v>
      </c>
      <c r="AG85" s="126" t="s">
        <v>55</v>
      </c>
      <c r="AH85" s="126" t="s">
        <v>56</v>
      </c>
    </row>
    <row r="86" spans="1:38" ht="13.5" customHeight="1" x14ac:dyDescent="0.4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255" t="s">
        <v>125</v>
      </c>
      <c r="AA86" s="255" t="s">
        <v>126</v>
      </c>
      <c r="AB86" s="255" t="s">
        <v>127</v>
      </c>
      <c r="AC86" s="126" t="s">
        <v>128</v>
      </c>
      <c r="AD86" s="126" t="s">
        <v>52</v>
      </c>
      <c r="AE86" s="127" t="s">
        <v>53</v>
      </c>
      <c r="AF86" s="126" t="s">
        <v>129</v>
      </c>
      <c r="AG86" s="126" t="s">
        <v>55</v>
      </c>
      <c r="AH86" s="126" t="s">
        <v>56</v>
      </c>
    </row>
    <row r="87" spans="1:38" ht="13.5" customHeight="1" x14ac:dyDescent="0.4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255" t="s">
        <v>130</v>
      </c>
      <c r="AA87" s="255" t="s">
        <v>131</v>
      </c>
      <c r="AB87" s="255" t="s">
        <v>132</v>
      </c>
      <c r="AC87" s="126" t="s">
        <v>133</v>
      </c>
      <c r="AD87" s="126" t="s">
        <v>52</v>
      </c>
      <c r="AE87" s="127" t="s">
        <v>53</v>
      </c>
      <c r="AF87" s="126" t="s">
        <v>134</v>
      </c>
      <c r="AG87" s="126" t="s">
        <v>55</v>
      </c>
      <c r="AH87" s="126" t="s">
        <v>56</v>
      </c>
    </row>
    <row r="88" spans="1:38" x14ac:dyDescent="0.3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28" t="e">
        <f t="shared" ref="AC88:AH88" si="29">+AC82-AC85</f>
        <v>#VALUE!</v>
      </c>
      <c r="AD88" s="128" t="e">
        <f t="shared" si="29"/>
        <v>#VALUE!</v>
      </c>
      <c r="AE88" s="128" t="e">
        <f t="shared" si="29"/>
        <v>#VALUE!</v>
      </c>
      <c r="AF88" s="128" t="e">
        <f t="shared" si="29"/>
        <v>#VALUE!</v>
      </c>
      <c r="AG88" s="128" t="e">
        <f t="shared" si="29"/>
        <v>#VALUE!</v>
      </c>
      <c r="AH88" s="128" t="e">
        <f t="shared" si="29"/>
        <v>#VALUE!</v>
      </c>
    </row>
    <row r="89" spans="1:38" x14ac:dyDescent="0.35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</row>
    <row r="90" spans="1:38" ht="15" x14ac:dyDescent="0.4">
      <c r="V90" s="163" t="s">
        <v>135</v>
      </c>
      <c r="W90" s="256">
        <v>13821028</v>
      </c>
      <c r="X90" s="257">
        <v>14391293.356597248</v>
      </c>
      <c r="Y90" s="222">
        <v>15078065.363783821</v>
      </c>
      <c r="Z90" s="222">
        <v>15893651.626643037</v>
      </c>
      <c r="AA90" s="222">
        <v>16572164.568013309</v>
      </c>
      <c r="AB90" s="258">
        <v>17279528.702090576</v>
      </c>
    </row>
    <row r="91" spans="1:38" x14ac:dyDescent="0.35">
      <c r="X91" s="172">
        <v>4.2</v>
      </c>
      <c r="Y91" s="172">
        <v>4.8</v>
      </c>
      <c r="Z91" s="172">
        <v>5.4</v>
      </c>
      <c r="AA91" s="172">
        <v>4.3</v>
      </c>
      <c r="AB91" s="172">
        <v>4.3</v>
      </c>
    </row>
    <row r="92" spans="1:38" ht="15" x14ac:dyDescent="0.4">
      <c r="V92" s="163" t="s">
        <v>136</v>
      </c>
      <c r="W92" s="256">
        <f t="shared" ref="W92:AB92" si="30">+W55-W90</f>
        <v>644154.49755487964</v>
      </c>
      <c r="X92" s="257">
        <f t="shared" si="30"/>
        <v>707094.48953052051</v>
      </c>
      <c r="Y92" s="222">
        <f t="shared" si="30"/>
        <v>781183.82083493657</v>
      </c>
      <c r="Z92" s="222">
        <f t="shared" si="30"/>
        <v>801312.80704966187</v>
      </c>
      <c r="AA92" s="222">
        <f t="shared" si="30"/>
        <v>835061.34446382336</v>
      </c>
      <c r="AB92" s="258">
        <f t="shared" si="30"/>
        <v>870227.66437983513</v>
      </c>
    </row>
    <row r="93" spans="1:38" x14ac:dyDescent="0.35">
      <c r="X93" s="172"/>
      <c r="Y93" s="172"/>
      <c r="Z93" s="172"/>
      <c r="AA93" s="172"/>
      <c r="AB93" s="172"/>
    </row>
    <row r="94" spans="1:38" x14ac:dyDescent="0.35">
      <c r="X94" s="172"/>
      <c r="Y94" s="172"/>
      <c r="Z94" s="172"/>
      <c r="AA94" s="172"/>
      <c r="AB94" s="172"/>
    </row>
    <row r="95" spans="1:38" x14ac:dyDescent="0.35">
      <c r="X95" s="172"/>
      <c r="Y95" s="172"/>
      <c r="Z95" s="172"/>
      <c r="AA95" s="172"/>
      <c r="AB95" s="172"/>
    </row>
    <row r="96" spans="1:38" x14ac:dyDescent="0.35">
      <c r="X96" s="172"/>
      <c r="Y96" s="172"/>
      <c r="Z96" s="172"/>
      <c r="AA96" s="172"/>
      <c r="AB96" s="172"/>
    </row>
    <row r="97" spans="24:28" x14ac:dyDescent="0.35">
      <c r="X97" s="172"/>
      <c r="Y97" s="172"/>
      <c r="Z97" s="172"/>
      <c r="AA97" s="172"/>
      <c r="AB97" s="172"/>
    </row>
    <row r="98" spans="24:28" x14ac:dyDescent="0.35">
      <c r="X98" s="172"/>
      <c r="Y98" s="172"/>
      <c r="Z98" s="172"/>
      <c r="AA98" s="172"/>
      <c r="AB98" s="172"/>
    </row>
    <row r="99" spans="24:28" x14ac:dyDescent="0.35">
      <c r="X99" s="172"/>
      <c r="Y99" s="172"/>
      <c r="Z99" s="172"/>
      <c r="AA99" s="172"/>
      <c r="AB99" s="172"/>
    </row>
  </sheetData>
  <mergeCells count="6">
    <mergeCell ref="AQ42:AR43"/>
    <mergeCell ref="AG5:AL5"/>
    <mergeCell ref="AG9:AL9"/>
    <mergeCell ref="AG12:AL12"/>
    <mergeCell ref="AM42:AN43"/>
    <mergeCell ref="AO42:AP43"/>
  </mergeCells>
  <hyperlinks>
    <hyperlink ref="AL83" r:id="rId1"/>
  </hyperlinks>
  <pageMargins left="0.70866141732283472" right="0.19" top="0.39" bottom="0.41" header="0.31496062992125984" footer="0.31496062992125984"/>
  <pageSetup paperSize="9" scale="55" orientation="landscape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Tulumaks 2012-2022</vt:lpstr>
      <vt:lpstr>Tulumaksu prognoos</vt:lpstr>
      <vt:lpstr>Lisaeelarve arvutused</vt:lpstr>
      <vt:lpstr>Graafik 2008-2022</vt:lpstr>
      <vt:lpstr>'Tulumaks 2012-2022'!Print_Area</vt:lpstr>
    </vt:vector>
  </TitlesOfParts>
  <Company>Viljandi Linnavalitsus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Marika Aaso</dc:creator>
  <cp:lastModifiedBy>Marika Aaso</cp:lastModifiedBy>
  <cp:lastPrinted>2021-02-25T12:43:47Z</cp:lastPrinted>
  <dcterms:created xsi:type="dcterms:W3CDTF">2000-08-30T10:55:10Z</dcterms:created>
  <dcterms:modified xsi:type="dcterms:W3CDTF">2022-07-25T19:21:55Z</dcterms:modified>
</cp:coreProperties>
</file>